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OS IMPORTANTES\COLETA LIXO SAPUCAIA-2023\COLETA LIXO SAPUCAIA-RECUPERADO 11-03-23\ARQUIVOS NOVOS REVISADOS EM JAN-2024\"/>
    </mc:Choice>
  </mc:AlternateContent>
  <xr:revisionPtr revIDLastSave="0" documentId="13_ncr:1_{81B8F4C9-AE25-47B4-9F87-5DE5FF8C8A23}" xr6:coauthVersionLast="47" xr6:coauthVersionMax="47" xr10:uidLastSave="{00000000-0000-0000-0000-000000000000}"/>
  <bookViews>
    <workbookView xWindow="-120" yWindow="-120" windowWidth="24240" windowHeight="13140" tabRatio="780" xr2:uid="{00000000-000D-0000-FFFF-FFFF00000000}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  <sheet name="Tabela De Preços Estimados" sheetId="10" r:id="rId8"/>
    <sheet name="MEMÓRIA DE CÁLCULO E DADOS" sheetId="13" r:id="rId9"/>
    <sheet name="Planilha1" sheetId="15" r:id="rId10"/>
    <sheet name="Plan1" sheetId="14" r:id="rId11"/>
  </sheets>
  <definedNames>
    <definedName name="AbaDeprec">'5. Depreciação'!$A$1</definedName>
    <definedName name="AbaRemun">'6.Remuneração de capital'!$A$1</definedName>
    <definedName name="_xlnm.Print_Area" localSheetId="0">'1. Coleta Domiciliar'!$A$1:$F$702</definedName>
    <definedName name="_xlnm.Print_Area" localSheetId="1">'2.Encargos Sociais'!$A$1:$C$39</definedName>
    <definedName name="_xlnm.Print_Titles" localSheetId="0">'1. Coleta Domiciliar'!$1:$8</definedName>
  </definedNames>
  <calcPr calcId="191029"/>
</workbook>
</file>

<file path=xl/calcChain.xml><?xml version="1.0" encoding="utf-8"?>
<calcChain xmlns="http://schemas.openxmlformats.org/spreadsheetml/2006/main">
  <c r="D227" i="2" l="1"/>
  <c r="D226" i="2"/>
  <c r="E404" i="2"/>
  <c r="E645" i="2"/>
  <c r="E644" i="2"/>
  <c r="F241" i="2"/>
  <c r="E357" i="2" l="1"/>
  <c r="D447" i="2"/>
  <c r="E619" i="2" l="1"/>
  <c r="D617" i="2"/>
  <c r="E617" i="2" s="1"/>
  <c r="D162" i="2" l="1"/>
  <c r="D181" i="2"/>
  <c r="E265" i="2"/>
  <c r="A313" i="2"/>
  <c r="A308" i="2"/>
  <c r="D338" i="2" l="1"/>
  <c r="D163" i="2" l="1"/>
  <c r="C378" i="2" l="1"/>
  <c r="E28" i="2" l="1"/>
  <c r="E119" i="2" l="1"/>
  <c r="E142" i="2"/>
  <c r="C246" i="2"/>
  <c r="C169" i="2" l="1"/>
  <c r="E650" i="2" l="1"/>
  <c r="A511" i="2"/>
  <c r="E447" i="2" l="1"/>
  <c r="E445" i="2"/>
  <c r="E443" i="2"/>
  <c r="E442" i="2"/>
  <c r="E439" i="2"/>
  <c r="E440" i="2"/>
  <c r="E441" i="2"/>
  <c r="E652" i="2" l="1"/>
  <c r="E651" i="2"/>
  <c r="D654" i="2"/>
  <c r="E654" i="2" s="1"/>
  <c r="D653" i="2"/>
  <c r="E653" i="2" s="1"/>
  <c r="D546" i="2" l="1"/>
  <c r="E438" i="2"/>
  <c r="F451" i="2" s="1"/>
  <c r="E85" i="2" l="1"/>
  <c r="D280" i="2"/>
  <c r="E68" i="2"/>
  <c r="E511" i="2" l="1"/>
  <c r="E649" i="2" l="1"/>
  <c r="E648" i="2"/>
  <c r="E647" i="2"/>
  <c r="E646" i="2"/>
  <c r="E643" i="2"/>
  <c r="E655" i="2" l="1"/>
  <c r="D583" i="2"/>
  <c r="D585" i="2" s="1"/>
  <c r="E585" i="2" s="1"/>
  <c r="B527" i="2"/>
  <c r="E554" i="2" l="1"/>
  <c r="E656" i="2"/>
  <c r="F655" i="2" s="1"/>
  <c r="E633" i="2"/>
  <c r="E621" i="2"/>
  <c r="D586" i="2"/>
  <c r="E586" i="2" s="1"/>
  <c r="E587" i="2" s="1"/>
  <c r="E588" i="2"/>
  <c r="E542" i="2"/>
  <c r="E579" i="2"/>
  <c r="E567" i="2"/>
  <c r="D510" i="2" l="1"/>
  <c r="F587" i="2"/>
  <c r="C215" i="2"/>
  <c r="C576" i="2"/>
  <c r="C583" i="2" l="1"/>
  <c r="E631" i="2"/>
  <c r="C632" i="2"/>
  <c r="C620" i="2"/>
  <c r="E609" i="2"/>
  <c r="E610" i="2"/>
  <c r="E611" i="2"/>
  <c r="E612" i="2"/>
  <c r="E613" i="2"/>
  <c r="E614" i="2"/>
  <c r="E615" i="2"/>
  <c r="E616" i="2"/>
  <c r="E618" i="2"/>
  <c r="A521" i="2"/>
  <c r="A48" i="2"/>
  <c r="A45" i="2"/>
  <c r="A44" i="2"/>
  <c r="A43" i="2"/>
  <c r="A42" i="2"/>
  <c r="A41" i="2"/>
  <c r="A40" i="2"/>
  <c r="A39" i="2"/>
  <c r="A49" i="2"/>
  <c r="D620" i="2" l="1"/>
  <c r="E620" i="2" s="1"/>
  <c r="F620" i="2" s="1"/>
  <c r="F470" i="2"/>
  <c r="E48" i="2" s="1"/>
  <c r="E420" i="2" l="1"/>
  <c r="E415" i="2" l="1"/>
  <c r="C417" i="2" l="1"/>
  <c r="D417" i="2"/>
  <c r="C419" i="2"/>
  <c r="E417" i="2" l="1"/>
  <c r="D418" i="2" s="1"/>
  <c r="E418" i="2" s="1"/>
  <c r="D419" i="2" s="1"/>
  <c r="E419" i="2" s="1"/>
  <c r="F419" i="2" s="1"/>
  <c r="E411" i="2"/>
  <c r="E410" i="2"/>
  <c r="C410" i="2"/>
  <c r="D401" i="2"/>
  <c r="C401" i="2"/>
  <c r="C399" i="2"/>
  <c r="E402" i="2"/>
  <c r="D399" i="2"/>
  <c r="E392" i="2"/>
  <c r="C382" i="2"/>
  <c r="E383" i="2"/>
  <c r="E45" i="2" l="1"/>
  <c r="F410" i="2"/>
  <c r="E44" i="2" s="1"/>
  <c r="E401" i="2"/>
  <c r="E399" i="2"/>
  <c r="F404" i="2" s="1"/>
  <c r="E43" i="2" s="1"/>
  <c r="D377" i="2" l="1"/>
  <c r="E373" i="2"/>
  <c r="C297" i="2"/>
  <c r="E367" i="2"/>
  <c r="D370" i="2"/>
  <c r="E370" i="2" s="1"/>
  <c r="D371" i="2" s="1"/>
  <c r="E371" i="2" s="1"/>
  <c r="D372" i="2" s="1"/>
  <c r="E372" i="2" s="1"/>
  <c r="D327" i="2"/>
  <c r="E219" i="2"/>
  <c r="E228" i="2"/>
  <c r="C218" i="2"/>
  <c r="C217" i="2"/>
  <c r="F372" i="2" l="1"/>
  <c r="E40" i="2" s="1"/>
  <c r="C379" i="2"/>
  <c r="C380" i="2" s="1"/>
  <c r="D381" i="2" s="1"/>
  <c r="E381" i="2" s="1"/>
  <c r="D382" i="2" s="1"/>
  <c r="E382" i="2" s="1"/>
  <c r="F382" i="2" s="1"/>
  <c r="E41" i="2" s="1"/>
  <c r="D387" i="2"/>
  <c r="D391" i="2" s="1"/>
  <c r="E391" i="2" s="1"/>
  <c r="F391" i="2" s="1"/>
  <c r="E42" i="2" s="1"/>
  <c r="E227" i="2"/>
  <c r="E226" i="2"/>
  <c r="A24" i="2"/>
  <c r="A23" i="2"/>
  <c r="E209" i="2"/>
  <c r="C202" i="2"/>
  <c r="C199" i="2"/>
  <c r="C196" i="2"/>
  <c r="D194" i="2"/>
  <c r="D202" i="2" s="1"/>
  <c r="D182" i="2"/>
  <c r="E182" i="2" s="1"/>
  <c r="E181" i="2"/>
  <c r="E180" i="2"/>
  <c r="D218" i="2" s="1"/>
  <c r="E218" i="2" s="1"/>
  <c r="C165" i="2"/>
  <c r="D165" i="2" l="1"/>
  <c r="E165" i="2" s="1"/>
  <c r="D169" i="2"/>
  <c r="E169" i="2" s="1"/>
  <c r="E39" i="2"/>
  <c r="E202" i="2"/>
  <c r="D200" i="2"/>
  <c r="E200" i="2" s="1"/>
  <c r="D184" i="2"/>
  <c r="E184" i="2" s="1"/>
  <c r="D185" i="2" s="1"/>
  <c r="D199" i="2"/>
  <c r="E199" i="2" s="1"/>
  <c r="D196" i="2"/>
  <c r="E196" i="2" s="1"/>
  <c r="E194" i="2"/>
  <c r="D197" i="2"/>
  <c r="E197" i="2" s="1"/>
  <c r="E185" i="2" l="1"/>
  <c r="E186" i="2" s="1"/>
  <c r="D187" i="2" s="1"/>
  <c r="D203" i="2"/>
  <c r="E203" i="2" s="1"/>
  <c r="D204" i="2" s="1"/>
  <c r="E204" i="2" s="1"/>
  <c r="E205" i="2" s="1"/>
  <c r="D206" i="2" l="1"/>
  <c r="C216" i="2" l="1"/>
  <c r="A21" i="2"/>
  <c r="A22" i="2"/>
  <c r="A60" i="2"/>
  <c r="A59" i="2"/>
  <c r="E176" i="2"/>
  <c r="D167" i="2"/>
  <c r="E167" i="2" s="1"/>
  <c r="D166" i="2"/>
  <c r="E166" i="2" s="1"/>
  <c r="E162" i="2"/>
  <c r="E158" i="2"/>
  <c r="D152" i="2"/>
  <c r="E152" i="2" s="1"/>
  <c r="D151" i="2"/>
  <c r="E151" i="2" s="1"/>
  <c r="E149" i="2"/>
  <c r="D217" i="2" s="1"/>
  <c r="E217" i="2" s="1"/>
  <c r="D171" i="2" l="1"/>
  <c r="E171" i="2" s="1"/>
  <c r="E172" i="2" s="1"/>
  <c r="D153" i="2"/>
  <c r="E153" i="2" s="1"/>
  <c r="E154" i="2" s="1"/>
  <c r="D173" i="2" l="1"/>
  <c r="D155" i="2"/>
  <c r="D630" i="2" l="1"/>
  <c r="E630" i="2" s="1"/>
  <c r="D629" i="2"/>
  <c r="E629" i="2" s="1"/>
  <c r="D628" i="2"/>
  <c r="E628" i="2" s="1"/>
  <c r="D627" i="2"/>
  <c r="E627" i="2" s="1"/>
  <c r="D626" i="2"/>
  <c r="E626" i="2" s="1"/>
  <c r="D625" i="2"/>
  <c r="E625" i="2" s="1"/>
  <c r="A584" i="2"/>
  <c r="E574" i="2"/>
  <c r="D562" i="2"/>
  <c r="D561" i="2"/>
  <c r="E561" i="2" s="1"/>
  <c r="E560" i="2"/>
  <c r="D577" i="2" s="1"/>
  <c r="E577" i="2" s="1"/>
  <c r="D549" i="2"/>
  <c r="E549" i="2" s="1"/>
  <c r="D548" i="2"/>
  <c r="D547" i="2"/>
  <c r="E547" i="2" s="1"/>
  <c r="E546" i="2"/>
  <c r="D537" i="2"/>
  <c r="E537" i="2" s="1"/>
  <c r="D536" i="2"/>
  <c r="E536" i="2" s="1"/>
  <c r="D535" i="2"/>
  <c r="E535" i="2" s="1"/>
  <c r="E534" i="2"/>
  <c r="D576" i="2" s="1"/>
  <c r="E576" i="2" s="1"/>
  <c r="E521" i="2"/>
  <c r="E520" i="2"/>
  <c r="A520" i="2"/>
  <c r="E519" i="2"/>
  <c r="A519" i="2"/>
  <c r="A512" i="2"/>
  <c r="A509" i="2"/>
  <c r="A508" i="2"/>
  <c r="E522" i="2" l="1"/>
  <c r="E578" i="2"/>
  <c r="F578" i="2" s="1"/>
  <c r="E562" i="2"/>
  <c r="E563" i="2" s="1"/>
  <c r="D564" i="2" s="1"/>
  <c r="E548" i="2"/>
  <c r="E550" i="2" s="1"/>
  <c r="D551" i="2" s="1"/>
  <c r="E538" i="2"/>
  <c r="D539" i="2" s="1"/>
  <c r="D632" i="2"/>
  <c r="E632" i="2" s="1"/>
  <c r="F632" i="2" s="1"/>
  <c r="F636" i="2" s="1"/>
  <c r="C592" i="2" l="1"/>
  <c r="E592" i="2" s="1"/>
  <c r="F593" i="2" s="1"/>
  <c r="C598" i="2"/>
  <c r="E598" i="2" s="1"/>
  <c r="F599" i="2" s="1"/>
  <c r="D509" i="2"/>
  <c r="C21" i="9"/>
  <c r="C23" i="5" l="1"/>
  <c r="C325" i="2" l="1"/>
  <c r="C324" i="2"/>
  <c r="C326" i="2"/>
  <c r="A47" i="2" l="1"/>
  <c r="A46" i="2"/>
  <c r="A31" i="2"/>
  <c r="A30" i="2"/>
  <c r="A16" i="2"/>
  <c r="C13" i="9" l="1"/>
  <c r="C14" i="9" s="1"/>
  <c r="C17" i="9" l="1"/>
  <c r="C24" i="9" s="1"/>
  <c r="C295" i="2"/>
  <c r="C300" i="2"/>
  <c r="E58" i="2" l="1"/>
  <c r="E57" i="2"/>
  <c r="E56" i="2"/>
  <c r="E55" i="2"/>
  <c r="E67" i="2"/>
  <c r="C233" i="2" l="1"/>
  <c r="C281" i="2"/>
  <c r="E63" i="2"/>
  <c r="C319" i="2"/>
  <c r="C314" i="2"/>
  <c r="D346" i="2"/>
  <c r="D344" i="2"/>
  <c r="D342" i="2"/>
  <c r="D340" i="2"/>
  <c r="E246" i="2" l="1"/>
  <c r="F247" i="2" s="1"/>
  <c r="E29" i="2" s="1"/>
  <c r="E238" i="2"/>
  <c r="D274" i="2"/>
  <c r="E274" i="2" s="1"/>
  <c r="E258" i="2"/>
  <c r="E259" i="2"/>
  <c r="E260" i="2"/>
  <c r="E261" i="2"/>
  <c r="E262" i="2"/>
  <c r="E263" i="2"/>
  <c r="E264" i="2"/>
  <c r="E266" i="2"/>
  <c r="E257" i="2"/>
  <c r="D78" i="2" l="1"/>
  <c r="E78" i="2" s="1"/>
  <c r="D77" i="2"/>
  <c r="E77" i="2" s="1"/>
  <c r="D110" i="2"/>
  <c r="E110" i="2" s="1"/>
  <c r="C132" i="2"/>
  <c r="D79" i="2" l="1"/>
  <c r="E79" i="2" s="1"/>
  <c r="C135" i="2"/>
  <c r="D111" i="2"/>
  <c r="E111" i="2" s="1"/>
  <c r="D112" i="2" s="1"/>
  <c r="E112" i="2" s="1"/>
  <c r="C97" i="2"/>
  <c r="C94" i="2"/>
  <c r="C361" i="2" l="1"/>
  <c r="D127" i="2"/>
  <c r="A38" i="2"/>
  <c r="A37" i="2"/>
  <c r="A36" i="2"/>
  <c r="A35" i="2"/>
  <c r="A34" i="2"/>
  <c r="A33" i="2"/>
  <c r="A32" i="2"/>
  <c r="A27" i="2"/>
  <c r="A26" i="2"/>
  <c r="A25" i="2"/>
  <c r="A20" i="2"/>
  <c r="A19" i="2"/>
  <c r="A18" i="2"/>
  <c r="A17" i="2"/>
  <c r="C20" i="8"/>
  <c r="E461" i="2"/>
  <c r="E329" i="2"/>
  <c r="E320" i="2"/>
  <c r="E304" i="2"/>
  <c r="E282" i="2"/>
  <c r="E269" i="2"/>
  <c r="E234" i="2"/>
  <c r="E145" i="2"/>
  <c r="E122" i="2"/>
  <c r="E104" i="2"/>
  <c r="D308" i="2"/>
  <c r="C20" i="4"/>
  <c r="C478" i="2" s="1"/>
  <c r="C672" i="2" s="1"/>
  <c r="F13" i="4"/>
  <c r="E13" i="4"/>
  <c r="D13" i="4"/>
  <c r="C17" i="8"/>
  <c r="C25" i="5"/>
  <c r="C138" i="2"/>
  <c r="C129" i="2"/>
  <c r="D126" i="2"/>
  <c r="E108" i="2"/>
  <c r="C359" i="2"/>
  <c r="E359" i="2" s="1"/>
  <c r="D360" i="2" s="1"/>
  <c r="E360" i="2" s="1"/>
  <c r="D361" i="2" s="1"/>
  <c r="C338" i="2"/>
  <c r="C340" i="2" s="1"/>
  <c r="E340" i="2" s="1"/>
  <c r="E292" i="2"/>
  <c r="D313" i="2"/>
  <c r="C301" i="2"/>
  <c r="C296" i="2"/>
  <c r="C91" i="2"/>
  <c r="D89" i="2"/>
  <c r="D94" i="2" s="1"/>
  <c r="C457" i="2"/>
  <c r="C313" i="2"/>
  <c r="A55" i="2"/>
  <c r="A56" i="2"/>
  <c r="A57" i="2"/>
  <c r="A58" i="2"/>
  <c r="A67" i="2"/>
  <c r="E76" i="2"/>
  <c r="D215" i="2" s="1"/>
  <c r="C99" i="2"/>
  <c r="A224" i="2"/>
  <c r="A232" i="2" s="1"/>
  <c r="A225" i="2"/>
  <c r="A233" i="2" s="1"/>
  <c r="E267" i="2"/>
  <c r="D268" i="2" s="1"/>
  <c r="D275" i="2"/>
  <c r="E275" i="2" s="1"/>
  <c r="D276" i="2"/>
  <c r="E276" i="2" s="1"/>
  <c r="D277" i="2"/>
  <c r="E277" i="2" s="1"/>
  <c r="D278" i="2"/>
  <c r="E278" i="2" s="1"/>
  <c r="D279" i="2"/>
  <c r="E279" i="2" s="1"/>
  <c r="E280" i="2"/>
  <c r="E326" i="2"/>
  <c r="E325" i="2"/>
  <c r="E361" i="2" l="1"/>
  <c r="F361" i="2" s="1"/>
  <c r="D216" i="2"/>
  <c r="D115" i="2"/>
  <c r="E115" i="2" s="1"/>
  <c r="E116" i="2" s="1"/>
  <c r="D132" i="2"/>
  <c r="E132" i="2" s="1"/>
  <c r="E46" i="2"/>
  <c r="E459" i="2"/>
  <c r="D460" i="2" s="1"/>
  <c r="E460" i="2" s="1"/>
  <c r="E457" i="2"/>
  <c r="D458" i="2" s="1"/>
  <c r="E458" i="2" s="1"/>
  <c r="C27" i="5"/>
  <c r="C28" i="5" s="1"/>
  <c r="C26" i="5"/>
  <c r="C31" i="8" s="1"/>
  <c r="D295" i="2"/>
  <c r="E295" i="2" s="1"/>
  <c r="D296" i="2" s="1"/>
  <c r="D97" i="2"/>
  <c r="E97" i="2" s="1"/>
  <c r="D92" i="2"/>
  <c r="E92" i="2" s="1"/>
  <c r="E126" i="2"/>
  <c r="D130" i="2"/>
  <c r="E130" i="2" s="1"/>
  <c r="D133" i="2"/>
  <c r="E133" i="2" s="1"/>
  <c r="D135" i="2"/>
  <c r="E135" i="2" s="1"/>
  <c r="D129" i="2"/>
  <c r="E129" i="2" s="1"/>
  <c r="D95" i="2"/>
  <c r="E95" i="2" s="1"/>
  <c r="E94" i="2"/>
  <c r="C344" i="2"/>
  <c r="E344" i="2" s="1"/>
  <c r="D91" i="2"/>
  <c r="E91" i="2" s="1"/>
  <c r="C346" i="2"/>
  <c r="E346" i="2" s="1"/>
  <c r="C225" i="2"/>
  <c r="E225" i="2" s="1"/>
  <c r="E338" i="2"/>
  <c r="E89" i="2"/>
  <c r="E297" i="2"/>
  <c r="C315" i="2" s="1"/>
  <c r="C224" i="2"/>
  <c r="E224" i="2" s="1"/>
  <c r="C268" i="2"/>
  <c r="E268" i="2" s="1"/>
  <c r="F268" i="2" s="1"/>
  <c r="E232" i="2"/>
  <c r="E215" i="2"/>
  <c r="E313" i="2"/>
  <c r="E233" i="2"/>
  <c r="D80" i="2"/>
  <c r="E80" i="2" s="1"/>
  <c r="E81" i="2" s="1"/>
  <c r="D82" i="2" s="1"/>
  <c r="C342" i="2"/>
  <c r="E342" i="2" s="1"/>
  <c r="C352" i="2"/>
  <c r="E352" i="2" s="1"/>
  <c r="F352" i="2" s="1"/>
  <c r="E37" i="2" s="1"/>
  <c r="E308" i="2"/>
  <c r="E216" i="2"/>
  <c r="D281" i="2"/>
  <c r="F460" i="2" l="1"/>
  <c r="F463" i="2" s="1"/>
  <c r="E47" i="2" s="1"/>
  <c r="E38" i="2"/>
  <c r="D347" i="2"/>
  <c r="F219" i="2"/>
  <c r="F228" i="2"/>
  <c r="E26" i="2" s="1"/>
  <c r="C30" i="8"/>
  <c r="C33" i="5"/>
  <c r="C27" i="8" s="1"/>
  <c r="C35" i="8" s="1"/>
  <c r="E296" i="2"/>
  <c r="E324" i="2"/>
  <c r="C310" i="2"/>
  <c r="C311" i="2" s="1"/>
  <c r="D312" i="2" s="1"/>
  <c r="E312" i="2" s="1"/>
  <c r="C28" i="8"/>
  <c r="C19" i="8"/>
  <c r="C25" i="8" s="1"/>
  <c r="C34" i="8" s="1"/>
  <c r="D98" i="2"/>
  <c r="E98" i="2" s="1"/>
  <c r="D99" i="2" s="1"/>
  <c r="E99" i="2" s="1"/>
  <c r="D136" i="2"/>
  <c r="E136" i="2" s="1"/>
  <c r="D138" i="2" s="1"/>
  <c r="E138" i="2" s="1"/>
  <c r="F234" i="2"/>
  <c r="E281" i="2"/>
  <c r="F281" i="2" s="1"/>
  <c r="D300" i="2"/>
  <c r="E300" i="2" s="1"/>
  <c r="D301" i="2" s="1"/>
  <c r="E301" i="2" s="1"/>
  <c r="F347" i="2"/>
  <c r="D117" i="2"/>
  <c r="E36" i="2" l="1"/>
  <c r="E327" i="2"/>
  <c r="D328" i="2"/>
  <c r="E328" i="2" s="1"/>
  <c r="F328" i="2" s="1"/>
  <c r="E35" i="2" s="1"/>
  <c r="E27" i="2"/>
  <c r="E25" i="2"/>
  <c r="C29" i="8"/>
  <c r="C32" i="8" s="1"/>
  <c r="C36" i="8"/>
  <c r="E302" i="2"/>
  <c r="D303" i="2" s="1"/>
  <c r="E303" i="2" s="1"/>
  <c r="F303" i="2" s="1"/>
  <c r="C316" i="2"/>
  <c r="D317" i="2" s="1"/>
  <c r="E317" i="2" s="1"/>
  <c r="E318" i="2" s="1"/>
  <c r="D319" i="2" s="1"/>
  <c r="E319" i="2" s="1"/>
  <c r="F319" i="2" s="1"/>
  <c r="F284" i="2"/>
  <c r="E139" i="2"/>
  <c r="E100" i="2"/>
  <c r="F431" i="2" l="1"/>
  <c r="D140" i="2"/>
  <c r="E30" i="2"/>
  <c r="E33" i="2"/>
  <c r="C37" i="8"/>
  <c r="E34" i="2"/>
  <c r="D101" i="2"/>
  <c r="C117" i="2" l="1"/>
  <c r="E117" i="2" s="1"/>
  <c r="E120" i="2" s="1"/>
  <c r="C187" i="2"/>
  <c r="E187" i="2" s="1"/>
  <c r="E188" i="2" s="1"/>
  <c r="D189" i="2" s="1"/>
  <c r="C206" i="2"/>
  <c r="E206" i="2" s="1"/>
  <c r="E207" i="2" s="1"/>
  <c r="D208" i="2" s="1"/>
  <c r="E208" i="2" s="1"/>
  <c r="F208" i="2" s="1"/>
  <c r="C173" i="2"/>
  <c r="C155" i="2"/>
  <c r="E32" i="2"/>
  <c r="C101" i="2"/>
  <c r="E101" i="2" s="1"/>
  <c r="E102" i="2" s="1"/>
  <c r="D103" i="2" s="1"/>
  <c r="E103" i="2" s="1"/>
  <c r="F103" i="2" s="1"/>
  <c r="E18" i="2" s="1"/>
  <c r="C82" i="2"/>
  <c r="C140" i="2"/>
  <c r="E140" i="2" s="1"/>
  <c r="E173" i="2" l="1"/>
  <c r="E174" i="2" s="1"/>
  <c r="D175" i="2" s="1"/>
  <c r="E175" i="2" s="1"/>
  <c r="F175" i="2" s="1"/>
  <c r="E22" i="2" s="1"/>
  <c r="E155" i="2"/>
  <c r="E156" i="2" s="1"/>
  <c r="D157" i="2" s="1"/>
  <c r="E157" i="2" s="1"/>
  <c r="F157" i="2" s="1"/>
  <c r="E21" i="2" s="1"/>
  <c r="E189" i="2"/>
  <c r="F189" i="2" s="1"/>
  <c r="E23" i="2" s="1"/>
  <c r="D121" i="2"/>
  <c r="E121" i="2" s="1"/>
  <c r="F121" i="2" s="1"/>
  <c r="E19" i="2" s="1"/>
  <c r="E24" i="2"/>
  <c r="E82" i="2"/>
  <c r="E83" i="2" s="1"/>
  <c r="D84" i="2" s="1"/>
  <c r="E84" i="2" s="1"/>
  <c r="F84" i="2" s="1"/>
  <c r="E17" i="2" s="1"/>
  <c r="C539" i="2"/>
  <c r="C551" i="2" l="1"/>
  <c r="E551" i="2" s="1"/>
  <c r="E552" i="2" s="1"/>
  <c r="D553" i="2" s="1"/>
  <c r="E553" i="2" s="1"/>
  <c r="C564" i="2"/>
  <c r="E564" i="2" s="1"/>
  <c r="E565" i="2" s="1"/>
  <c r="D566" i="2" s="1"/>
  <c r="E566" i="2" s="1"/>
  <c r="F566" i="2" s="1"/>
  <c r="E539" i="2"/>
  <c r="E540" i="2" s="1"/>
  <c r="D541" i="2" s="1"/>
  <c r="E541" i="2" s="1"/>
  <c r="F541" i="2" s="1"/>
  <c r="F553" i="2" l="1"/>
  <c r="F603" i="2" s="1"/>
  <c r="F665" i="2" s="1"/>
  <c r="E31" i="2"/>
  <c r="D672" i="2" l="1"/>
  <c r="E672" i="2" s="1"/>
  <c r="F675" i="2" s="1"/>
  <c r="D512" i="2" s="1"/>
  <c r="F678" i="2" l="1"/>
  <c r="D684" i="2" s="1"/>
  <c r="F688" i="2" s="1"/>
  <c r="D508" i="2" l="1"/>
  <c r="D513" i="2" l="1"/>
  <c r="F508" i="2" l="1"/>
  <c r="F511" i="2"/>
  <c r="F510" i="2"/>
  <c r="F509" i="2"/>
  <c r="F512" i="2"/>
  <c r="F513" i="2" l="1"/>
  <c r="E143" i="2"/>
  <c r="D144" i="2" s="1"/>
  <c r="E144" i="2" s="1"/>
  <c r="F144" i="2" s="1"/>
  <c r="E20" i="2" l="1"/>
  <c r="F250" i="2"/>
  <c r="F473" i="2" s="1"/>
  <c r="D478" i="2" s="1"/>
  <c r="E478" i="2" s="1"/>
  <c r="F478" i="2" s="1"/>
  <c r="E16" i="2" l="1"/>
  <c r="F481" i="2" l="1"/>
  <c r="F484" i="2" s="1"/>
  <c r="E49" i="2"/>
  <c r="E50" i="2" l="1"/>
  <c r="F489" i="2"/>
  <c r="F695" i="2"/>
  <c r="F698" i="2" s="1"/>
  <c r="F29" i="2" l="1"/>
  <c r="F28" i="2"/>
  <c r="F39" i="2"/>
  <c r="F19" i="2"/>
  <c r="F18" i="2"/>
  <c r="F33" i="2"/>
  <c r="F21" i="2"/>
  <c r="F48" i="2"/>
  <c r="F30" i="2"/>
  <c r="F40" i="2"/>
  <c r="F42" i="2"/>
  <c r="F23" i="2"/>
  <c r="F35" i="2"/>
  <c r="F41" i="2"/>
  <c r="F38" i="2"/>
  <c r="F22" i="2"/>
  <c r="F17" i="2"/>
  <c r="F24" i="2"/>
  <c r="F32" i="2"/>
  <c r="F36" i="2"/>
  <c r="F26" i="2"/>
  <c r="F31" i="2"/>
  <c r="F44" i="2"/>
  <c r="F27" i="2"/>
  <c r="F46" i="2"/>
  <c r="F37" i="2"/>
  <c r="F47" i="2"/>
  <c r="F45" i="2"/>
  <c r="F34" i="2"/>
  <c r="F25" i="2"/>
  <c r="F43" i="2"/>
  <c r="F20" i="2"/>
  <c r="F16" i="2"/>
  <c r="F49" i="2"/>
  <c r="F5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  <author>Usuario</author>
  </authors>
  <commentList>
    <comment ref="A14" authorId="0" shapeId="0" xr:uid="{00000000-0006-0000-0000-000001000000}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6" authorId="0" shapeId="0" xr:uid="{00000000-0006-0000-0000-000003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77" authorId="0" shapeId="0" xr:uid="{00000000-0006-0000-0000-000004000000}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8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79" authorId="0" shapeId="0" xr:uid="{00000000-0006-0000-0000-000006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4" authorId="0" shapeId="0" xr:uid="{00000000-0006-0000-0000-000008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90" authorId="0" shapeId="0" xr:uid="{00000000-0006-0000-0000-000009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2" authorId="0" shapeId="0" xr:uid="{00000000-0006-0000-0000-00000A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3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95" authorId="0" shapeId="0" xr:uid="{00000000-0006-0000-0000-00000C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96" authorId="0" shapeId="0" xr:uid="{00000000-0006-0000-0000-00000D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98" authorId="0" shapeId="0" xr:uid="{00000000-0006-0000-0000-00000E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3" authorId="0" shapeId="0" xr:uid="{00000000-0006-0000-0000-000010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08" authorId="0" shapeId="0" xr:uid="{00000000-0006-0000-0000-000011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09" authorId="0" shapeId="0" xr:uid="{00000000-0006-0000-0000-000012000000}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10" authorId="0" shapeId="0" xr:uid="{00000000-0006-0000-0000-000013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11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12" authorId="0" shapeId="0" xr:uid="{00000000-0006-0000-0000-000015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3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15" authorId="0" shapeId="0" xr:uid="{00000000-0006-0000-0000-000017000000}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17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1" authorId="0" shapeId="0" xr:uid="{00000000-0006-0000-0000-000019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6" authorId="1" shapeId="0" xr:uid="{00000000-0006-0000-0000-00001A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8" authorId="0" shapeId="0" xr:uid="{00000000-0006-0000-0000-00001B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30" authorId="0" shapeId="0" xr:uid="{00000000-0006-0000-0000-00001C000000}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31" authorId="0" shapeId="0" xr:uid="{00000000-0006-0000-0000-00001D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33" authorId="0" shapeId="0" xr:uid="{00000000-0006-0000-0000-00001E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34" authorId="0" shapeId="0" xr:uid="{00000000-0006-0000-0000-00001F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36" authorId="0" shapeId="0" xr:uid="{00000000-0006-0000-0000-000020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7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40" authorId="0" shapeId="0" xr:uid="{00000000-0006-0000-0000-000022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44" authorId="0" shapeId="0" xr:uid="{00000000-0006-0000-0000-000023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49" authorId="0" shapeId="0" xr:uid="{00000000-0006-0000-0000-000024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50" authorId="0" shapeId="0" xr:uid="{00000000-0006-0000-0000-000025000000}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51" authorId="0" shapeId="0" xr:uid="{00000000-0006-0000-0000-000026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52" authorId="0" shapeId="0" xr:uid="{00000000-0006-0000-0000-000027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53" authorId="0" shapeId="0" xr:uid="{00000000-0006-0000-0000-000028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5" authorId="0" shapeId="0" xr:uid="{00000000-0006-0000-0000-000029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57" authorId="0" shapeId="0" xr:uid="{00000000-0006-0000-0000-00002A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62" authorId="0" shapeId="0" xr:uid="{00000000-0006-0000-0000-00002B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63" authorId="0" shapeId="0" xr:uid="{00000000-0006-0000-0000-00002C000000}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64" authorId="0" shapeId="0" xr:uid="{00000000-0006-0000-0000-00002D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66" authorId="0" shapeId="0" xr:uid="{00000000-0006-0000-0000-00002E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67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C168" authorId="0" shapeId="0" xr:uid="{00000000-0006-0000-0000-000030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nos domingos e feriados</t>
        </r>
      </text>
    </comment>
    <comment ref="A171" authorId="0" shapeId="0" xr:uid="{00000000-0006-0000-0000-000031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3" authorId="0" shapeId="0" xr:uid="{00000000-0006-0000-0000-000032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75" authorId="0" shapeId="0" xr:uid="{00000000-0006-0000-0000-000033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80" authorId="0" shapeId="0" xr:uid="{00000000-0006-0000-0000-000034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181" authorId="0" shapeId="0" xr:uid="{00000000-0006-0000-0000-000035000000}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2" authorId="0" shapeId="0" xr:uid="{00000000-0006-0000-0000-000036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84" authorId="0" shapeId="0" xr:uid="{00000000-0006-0000-0000-000037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7" authorId="0" shapeId="0" xr:uid="{00000000-0006-0000-0000-000038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89" authorId="0" shapeId="0" xr:uid="{00000000-0006-0000-0000-000039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95" authorId="0" shapeId="0" xr:uid="{00000000-0006-0000-0000-00003A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97" authorId="0" shapeId="0" xr:uid="{00000000-0006-0000-0000-00003B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98" authorId="0" shapeId="0" xr:uid="{00000000-0006-0000-0000-00003C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200" authorId="0" shapeId="0" xr:uid="{00000000-0006-0000-0000-00003D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201" authorId="0" shapeId="0" xr:uid="{00000000-0006-0000-0000-00003E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203" authorId="0" shapeId="0" xr:uid="{00000000-0006-0000-0000-00003F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6" authorId="0" shapeId="0" xr:uid="{00000000-0006-0000-0000-000040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208" authorId="0" shapeId="0" xr:uid="{00000000-0006-0000-0000-000041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213" authorId="0" shapeId="0" xr:uid="{00000000-0006-0000-0000-000042000000}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214" authorId="0" shapeId="0" xr:uid="{00000000-0006-0000-0000-000043000000}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215" authorId="0" shapeId="0" xr:uid="{00000000-0006-0000-0000-000044000000}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216" authorId="0" shapeId="0" xr:uid="{00000000-0006-0000-0000-000045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224" authorId="0" shapeId="0" xr:uid="{00000000-0006-0000-0000-000046000000}">
      <text>
        <r>
          <rPr>
            <sz val="9"/>
            <color indexed="81"/>
            <rFont val="Tahoma"/>
            <family val="2"/>
          </rPr>
          <t xml:space="preserve">Informar o valor unitário diário do vale refeição, considerando o desconto aplicável ao funcionário, conforme Convenção Coletiva da categoria.
Conf. SINDIASSEIO c/ desconto = </t>
        </r>
        <r>
          <rPr>
            <sz val="9"/>
            <color indexed="10"/>
            <rFont val="Tahoma"/>
            <family val="2"/>
          </rPr>
          <t>R$ 19,18</t>
        </r>
      </text>
    </comment>
    <comment ref="D225" authorId="0" shapeId="0" xr:uid="{00000000-0006-0000-0000-000047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 Conf. SINECARGA-SETCERGS, o valor é</t>
        </r>
        <r>
          <rPr>
            <sz val="9"/>
            <color indexed="10"/>
            <rFont val="Tahoma"/>
            <family val="2"/>
          </rPr>
          <t xml:space="preserve"> R$ 12,80</t>
        </r>
      </text>
    </comment>
    <comment ref="D226" authorId="0" shapeId="0" xr:uid="{00000000-0006-0000-0000-000048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227" authorId="0" shapeId="0" xr:uid="{00000000-0006-0000-0000-000049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232" authorId="0" shapeId="0" xr:uid="{00000000-0006-0000-0000-00004A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233" authorId="0" shapeId="0" xr:uid="{00000000-0006-0000-0000-00004B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238" authorId="0" shapeId="0" xr:uid="{00000000-0006-0000-0000-00004C000000}">
      <text>
        <r>
          <rPr>
            <sz val="9"/>
            <color indexed="81"/>
            <rFont val="Tahoma"/>
            <family val="2"/>
          </rPr>
          <t>O valor da Contribuição é R$ 22,50 por empregado uma vez no ano</t>
        </r>
      </text>
    </comment>
    <comment ref="D246" authorId="0" shapeId="0" xr:uid="{00000000-0006-0000-0000-00004D000000}">
      <text>
        <r>
          <rPr>
            <sz val="9"/>
            <color indexed="81"/>
            <rFont val="Tahoma"/>
            <family val="2"/>
          </rPr>
          <t xml:space="preserve">Valor por empregado por mês para o Plano Beneficio Social Familiar conforme Acordo Coletivo SINDIASSEIO
</t>
        </r>
      </text>
    </comment>
    <comment ref="F247" authorId="1" shapeId="0" xr:uid="{00000000-0006-0000-0000-00004E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Valor  do Beneficio mensal por empregado  x nº de empregados
igual a 18,50  x 40 = R$ 740,00</t>
        </r>
      </text>
    </comment>
    <comment ref="C257" authorId="0" shapeId="0" xr:uid="{00000000-0006-0000-0000-00004F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57" authorId="0" shapeId="0" xr:uid="{00000000-0006-0000-0000-000050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58" authorId="0" shapeId="0" xr:uid="{00000000-0006-0000-0000-00005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58" authorId="0" shapeId="0" xr:uid="{00000000-0006-0000-0000-000052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59" authorId="0" shapeId="0" xr:uid="{00000000-0006-0000-0000-00005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59" authorId="0" shapeId="0" xr:uid="{00000000-0006-0000-0000-000054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60" authorId="0" shapeId="0" xr:uid="{00000000-0006-0000-0000-00005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60" authorId="0" shapeId="0" xr:uid="{00000000-0006-0000-0000-000056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61" authorId="0" shapeId="0" xr:uid="{00000000-0006-0000-0000-000057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61" authorId="0" shapeId="0" xr:uid="{00000000-0006-0000-0000-000058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62" authorId="0" shapeId="0" xr:uid="{00000000-0006-0000-0000-000059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62" authorId="0" shapeId="0" xr:uid="{00000000-0006-0000-0000-00005A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63" authorId="0" shapeId="0" xr:uid="{00000000-0006-0000-0000-00005B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63" authorId="0" shapeId="0" xr:uid="{00000000-0006-0000-0000-00005C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64" authorId="0" shapeId="0" xr:uid="{00000000-0006-0000-0000-00005D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64" authorId="0" shapeId="0" xr:uid="{00000000-0006-0000-0000-00005E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65" authorId="0" shapeId="0" xr:uid="{00000000-0006-0000-0000-00005F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65" authorId="0" shapeId="0" xr:uid="{00000000-0006-0000-0000-000060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66" authorId="0" shapeId="0" xr:uid="{00000000-0006-0000-0000-00006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66" authorId="0" shapeId="0" xr:uid="{00000000-0006-0000-0000-000062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267" authorId="0" shapeId="0" xr:uid="{00000000-0006-0000-0000-000063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274" authorId="0" shapeId="0" xr:uid="{00000000-0006-0000-0000-000064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75" authorId="0" shapeId="0" xr:uid="{00000000-0006-0000-0000-00006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76" authorId="0" shapeId="0" xr:uid="{00000000-0006-0000-0000-000066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77" authorId="0" shapeId="0" xr:uid="{00000000-0006-0000-0000-000067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78" authorId="0" shapeId="0" xr:uid="{00000000-0006-0000-0000-000068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79" authorId="0" shapeId="0" xr:uid="{00000000-0006-0000-0000-000069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80" authorId="0" shapeId="0" xr:uid="{00000000-0006-0000-0000-00006A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292" authorId="0" shapeId="0" xr:uid="{00000000-0006-0000-0000-00006B000000}">
      <text>
        <r>
          <rPr>
            <sz val="9"/>
            <color indexed="81"/>
            <rFont val="Tahoma"/>
            <family val="2"/>
          </rPr>
          <t xml:space="preserve">Informar o preço unitário do chassis do caminhão de coleta
</t>
        </r>
        <r>
          <rPr>
            <sz val="9"/>
            <color indexed="10"/>
            <rFont val="Tahoma"/>
            <family val="2"/>
          </rPr>
          <t>O Valor se refere a um caminhão Ano 2023</t>
        </r>
      </text>
    </comment>
    <comment ref="C293" authorId="0" shapeId="0" xr:uid="{00000000-0006-0000-0000-00006C000000}">
      <text>
        <r>
          <rPr>
            <sz val="9"/>
            <color indexed="81"/>
            <rFont val="Tahoma"/>
            <family val="2"/>
          </rPr>
          <t xml:space="preserve">Informar a vida útil estimada para o caminhão, em anos:
</t>
        </r>
        <r>
          <rPr>
            <sz val="9"/>
            <color indexed="10"/>
            <rFont val="Tahoma"/>
            <family val="2"/>
          </rPr>
          <t>Conf. Estudos feitos por Motta e Calôba (2011) relativo ao Custo Anual Uniforme Equivalente (CAUE) a vida média de Caminhões de Carga é de 6 a 7anos.
Para o nosso caso será adotado  Vida Útil de 7 anos</t>
        </r>
      </text>
    </comment>
    <comment ref="C294" authorId="0" shapeId="0" xr:uid="{00000000-0006-0000-0000-00006D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295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7" authorId="0" shapeId="0" xr:uid="{00000000-0006-0000-0000-00006F000000}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298" authorId="0" shapeId="0" xr:uid="{00000000-0006-0000-0000-000070000000}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299" authorId="0" shapeId="0" xr:uid="{00000000-0006-0000-0000-000071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300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3" authorId="0" shapeId="0" xr:uid="{00000000-0006-0000-0000-000073000000}">
      <text>
        <r>
          <rPr>
            <sz val="9"/>
            <color indexed="81"/>
            <rFont val="Tahoma"/>
            <family val="2"/>
          </rPr>
          <t xml:space="preserve">Informar a quantidade de caminhões compactadores do respectivo modelo 
</t>
        </r>
        <r>
          <rPr>
            <sz val="9"/>
            <color indexed="10"/>
            <rFont val="Tahoma"/>
            <family val="2"/>
          </rPr>
          <t xml:space="preserve">OBS: Incluido o reserva
</t>
        </r>
      </text>
    </comment>
    <comment ref="C309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 xml:space="preserve">OBS: Já houve redução da taxa Selic em agosto/23. como a previsão até final de 2024 é de  ficar abaixo de 10%. </t>
        </r>
        <r>
          <rPr>
            <sz val="12"/>
            <color indexed="10"/>
            <rFont val="Tahoma"/>
            <family val="2"/>
          </rPr>
          <t>Será adotado a taxa de 10%</t>
        </r>
      </text>
    </comment>
    <comment ref="C314" authorId="1" shapeId="0" xr:uid="{00000000-0006-0000-0000-000075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Informar a taxa de juros anual para remuneração do capital. Recomenda-se o uso da Taxa SELIC
</t>
        </r>
        <r>
          <rPr>
            <sz val="9"/>
            <color indexed="10"/>
            <rFont val="Segoe UI"/>
            <family val="2"/>
          </rPr>
          <t xml:space="preserve">
OBS: Já houve redução da taxa Selic em Dez/23 para 11,75%. como a previsão até final de 2024 é de  ficar abaixo de 10%. </t>
        </r>
        <r>
          <rPr>
            <sz val="12"/>
            <color indexed="10"/>
            <rFont val="Segoe UI"/>
            <family val="2"/>
          </rPr>
          <t>Será adotado a taxa de 10%</t>
        </r>
      </text>
    </comment>
    <comment ref="D325" authorId="0" shapeId="0" xr:uid="{00000000-0006-0000-0000-000076000000}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326" authorId="0" shapeId="0" xr:uid="{00000000-0006-0000-0000-000077000000}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334" authorId="0" shapeId="0" xr:uid="{00000000-0006-0000-0000-000078000000}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  <r>
          <rPr>
            <sz val="9"/>
            <color indexed="10"/>
            <rFont val="Tahoma"/>
            <family val="2"/>
          </rPr>
          <t xml:space="preserve">OBS: São 07 Caminhões Tipo Toco 12m³, que por série histórica, fazem </t>
        </r>
        <r>
          <rPr>
            <b/>
            <sz val="10"/>
            <color indexed="10"/>
            <rFont val="Tahoma"/>
            <family val="2"/>
          </rPr>
          <t xml:space="preserve">3.897 KM </t>
        </r>
        <r>
          <rPr>
            <sz val="9"/>
            <color indexed="10"/>
            <rFont val="Tahoma"/>
            <family val="2"/>
          </rPr>
          <t xml:space="preserve">mensais...6 x 3.897 = </t>
        </r>
        <r>
          <rPr>
            <b/>
            <sz val="10"/>
            <color indexed="10"/>
            <rFont val="Tahoma"/>
            <family val="2"/>
          </rPr>
          <t>23.382 Km</t>
        </r>
        <r>
          <rPr>
            <sz val="9"/>
            <color indexed="10"/>
            <rFont val="Tahoma"/>
            <family val="2"/>
          </rPr>
          <t>. ** NÃO SE CONSIDERA O CONSUMO PARA O CAMINHÃO RESERVA.</t>
        </r>
      </text>
    </comment>
    <comment ref="C337" authorId="0" shapeId="0" xr:uid="{00000000-0006-0000-0000-000079000000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337" authorId="0" shapeId="0" xr:uid="{00000000-0006-0000-0000-00007A000000}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  <r>
          <rPr>
            <sz val="9"/>
            <color indexed="10"/>
            <rFont val="Tahoma"/>
            <family val="2"/>
          </rPr>
          <t>Preço Agosto/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9" authorId="0" shapeId="0" xr:uid="{00000000-0006-0000-0000-00007B000000}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339" authorId="0" shapeId="0" xr:uid="{00000000-0006-0000-0000-00007C000000}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341" authorId="0" shapeId="0" xr:uid="{00000000-0006-0000-0000-00007D000000}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341" authorId="0" shapeId="0" xr:uid="{00000000-0006-0000-0000-00007E000000}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343" authorId="0" shapeId="0" xr:uid="{00000000-0006-0000-0000-00007F000000}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343" authorId="0" shapeId="0" xr:uid="{00000000-0006-0000-0000-000080000000}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345" authorId="0" shapeId="0" xr:uid="{00000000-0006-0000-0000-000081000000}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345" authorId="0" shapeId="0" xr:uid="{00000000-0006-0000-0000-000082000000}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  <r>
          <rPr>
            <sz val="9"/>
            <color indexed="10"/>
            <rFont val="Tahoma"/>
            <family val="2"/>
          </rPr>
          <t>Valor médio Mercado Livre em 28/08/2023</t>
        </r>
      </text>
    </comment>
    <comment ref="D352" authorId="0" shapeId="0" xr:uid="{00000000-0006-0000-0000-000083000000}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  <r>
          <rPr>
            <sz val="9"/>
            <color indexed="10"/>
            <rFont val="Tahoma"/>
            <family val="2"/>
          </rPr>
          <t>Atualizado em Ago/2023</t>
        </r>
      </text>
    </comment>
    <comment ref="C357" authorId="0" shapeId="0" xr:uid="{00000000-0006-0000-0000-000084000000}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357" authorId="0" shapeId="0" xr:uid="{00000000-0006-0000-0000-000085000000}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358" authorId="0" shapeId="0" xr:uid="{00000000-0006-0000-0000-000086000000}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359" authorId="0" shapeId="0" xr:uid="{00000000-0006-0000-0000-000087000000}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360" authorId="0" shapeId="0" xr:uid="{00000000-0006-0000-0000-000088000000}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C378" authorId="1" shapeId="0" xr:uid="{00000000-0006-0000-0000-000089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Informar a taxa de juros anual para remuneração do capital. Recomenda-se o uso da Taxa SELIC
</t>
        </r>
        <r>
          <rPr>
            <sz val="14"/>
            <color indexed="10"/>
            <rFont val="Segoe UI"/>
            <family val="2"/>
          </rPr>
          <t>OBS: Já houve redução da taxa Selic em agosto/23. como a previsão até final de 2024 é de  ficar abaixo de 10%. Será adotado a taxa de 10%</t>
        </r>
      </text>
    </comment>
    <comment ref="B396" authorId="1" shapeId="0" xr:uid="{00000000-0006-0000-0000-00008A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Estima-se para Apoio ´às Equipes de coleta e garagem 2000 Km mensal</t>
        </r>
      </text>
    </comment>
    <comment ref="D398" authorId="1" shapeId="0" xr:uid="{00000000-0006-0000-0000-00008B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Preço Agosto/ 2023</t>
        </r>
      </text>
    </comment>
    <comment ref="A438" authorId="1" shapeId="0" xr:uid="{00000000-0006-0000-0000-00008C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consumo 2 pçs por ano para cada caminhão
Quant. caminhões em operação¨= 06.... 6x 2 = </t>
        </r>
        <r>
          <rPr>
            <sz val="10"/>
            <color indexed="81"/>
            <rFont val="Tahoma"/>
            <family val="2"/>
          </rPr>
          <t>12 pçs.</t>
        </r>
      </text>
    </comment>
    <comment ref="C438" authorId="0" shapeId="0" xr:uid="{00000000-0006-0000-0000-00008D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38" authorId="0" shapeId="0" xr:uid="{00000000-0006-0000-0000-00008E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439" authorId="1" shapeId="0" xr:uid="{00000000-0006-0000-0000-00008F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Consumo de 2 pás por  caminhão
são 06 caminhões em operação
06 x 02 =</t>
        </r>
        <r>
          <rPr>
            <b/>
            <sz val="10"/>
            <color indexed="81"/>
            <rFont val="Tahoma"/>
            <family val="2"/>
          </rPr>
          <t xml:space="preserve"> 12 pçs</t>
        </r>
        <r>
          <rPr>
            <sz val="8"/>
            <color indexed="81"/>
            <rFont val="Tahoma"/>
            <family val="2"/>
          </rPr>
          <t>.</t>
        </r>
      </text>
    </comment>
    <comment ref="C439" authorId="0" shapeId="0" xr:uid="{00000000-0006-0000-0000-000090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39" authorId="0" shapeId="0" xr:uid="{00000000-0006-0000-0000-000091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440" authorId="1" shapeId="0" xr:uid="{00000000-0006-0000-0000-000092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Consumo de 02 vassouras por semestre para 06 caminhões.... 04 x 06 = </t>
        </r>
        <r>
          <rPr>
            <b/>
            <sz val="10"/>
            <color indexed="81"/>
            <rFont val="Tahoma"/>
            <family val="2"/>
          </rPr>
          <t>24 pçs. Por ano</t>
        </r>
      </text>
    </comment>
    <comment ref="C440" authorId="0" shapeId="0" xr:uid="{00000000-0006-0000-0000-000093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40" authorId="0" shapeId="0" xr:uid="{00000000-0006-0000-0000-000094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441" authorId="1" shapeId="0" xr:uid="{00000000-0006-0000-0000-000095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São 50 Adesivos ( 01 para cada container)..
Total 50 pçs.</t>
        </r>
      </text>
    </comment>
    <comment ref="C441" authorId="0" shapeId="0" xr:uid="{00000000-0006-0000-0000-000096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41" authorId="0" shapeId="0" xr:uid="{00000000-0006-0000-0000-000097000000}">
      <text>
        <r>
          <rPr>
            <sz val="9"/>
            <color indexed="81"/>
            <rFont val="Tahoma"/>
            <family val="2"/>
          </rPr>
          <t xml:space="preserve">Informar o valor unitário estimado para aquisição de cada material
</t>
        </r>
      </text>
    </comment>
    <comment ref="E441" authorId="1" shapeId="0" xr:uid="{00000000-0006-0000-0000-000098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foi multiplicado por 140 em função de serem: 20 papeleiras iniciais e mais 20% de reposição ao ano total 40 papeleiras;
50 Contêineres iniciais mais 20% de reposição ao ano total 100 contêineres</t>
        </r>
      </text>
    </comment>
    <comment ref="A442" authorId="1" shapeId="0" xr:uid="{00000000-0006-0000-0000-000099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São 01 cj. de adesivos pra cada caminhão
São 06 caminhõe em operação e 01 Reserva
total </t>
        </r>
        <r>
          <rPr>
            <b/>
            <sz val="10"/>
            <color indexed="81"/>
            <rFont val="Tahoma"/>
            <family val="2"/>
          </rPr>
          <t xml:space="preserve"> 07 Cjs.</t>
        </r>
      </text>
    </comment>
    <comment ref="C442" authorId="0" shapeId="0" xr:uid="{00000000-0006-0000-0000-00009A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42" authorId="0" shapeId="0" xr:uid="{00000000-0006-0000-0000-00009B000000}">
      <text>
        <r>
          <rPr>
            <sz val="9"/>
            <color indexed="81"/>
            <rFont val="Tahoma"/>
            <family val="2"/>
          </rPr>
          <t xml:space="preserve">Informar o valor unitário estimado para aquisição de cada material
OBS:  Adesivotamanho Grande p/ os Caminhões Coletores R$ 100,00 cada...  </t>
        </r>
      </text>
    </comment>
    <comment ref="A443" authorId="1" shapeId="0" xr:uid="{00000000-0006-0000-0000-00009C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São 03 cones por caminhão
06 caminhões em operação .... 06 x 3 = </t>
        </r>
        <r>
          <rPr>
            <b/>
            <sz val="10"/>
            <color indexed="81"/>
            <rFont val="Tahoma"/>
            <family val="2"/>
          </rPr>
          <t>18 Pçs.</t>
        </r>
      </text>
    </comment>
    <comment ref="C443" authorId="1" shapeId="0" xr:uid="{00000000-0006-0000-0000-00009D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nformar a quantidade estimada por mês. Por exemplo, se a durabilidade estimada é de 6 meses, informar 1/6; se a durabilidade estimada é de 3 meses informar 1/3, etc..</t>
        </r>
      </text>
    </comment>
    <comment ref="D443" authorId="1" shapeId="0" xr:uid="{00000000-0006-0000-0000-00009E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Informar o valor unitário estimado para aquisição de cada material</t>
        </r>
      </text>
    </comment>
    <comment ref="E444" authorId="1" shapeId="0" xr:uid="{00000000-0006-0000-0000-00009F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os valores de E446 até E451 foram multiplicados pelas quantidades de Ferramentas para cada equipamento ou veículo</t>
        </r>
      </text>
    </comment>
    <comment ref="A445" authorId="1" shapeId="0" xr:uid="{00000000-0006-0000-0000-0000A0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Previsão de aquisição de 50 Contêineres</t>
        </r>
      </text>
    </comment>
    <comment ref="D445" authorId="1" shapeId="0" xr:uid="{00000000-0006-0000-0000-0000A1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Informar o valor unitário estimado para aquisição de cada material</t>
        </r>
      </text>
    </comment>
    <comment ref="A447" authorId="1" shapeId="0" xr:uid="{00000000-0006-0000-0000-0000A2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Previsão de reposição de 50 contêineres ao longo de 60 meses</t>
        </r>
      </text>
    </comment>
    <comment ref="D447" authorId="1" shapeId="0" xr:uid="{00000000-0006-0000-0000-0000A3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Informar o valor unitário estimado para aquisição de cada material</t>
        </r>
      </text>
    </comment>
    <comment ref="A454" authorId="0" shapeId="0" xr:uid="{00000000-0006-0000-0000-0000A4000000}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7" authorId="0" shapeId="0" xr:uid="{00000000-0006-0000-0000-0000A5000000}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
OBS: Preço unitário R$300,00 por caminhão
Para 06 caminhões mais 01 Reserva total 07 caminhões = R$2.100,00</t>
        </r>
      </text>
    </comment>
    <comment ref="D459" authorId="0" shapeId="0" xr:uid="{00000000-0006-0000-0000-0000A6000000}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 por caminhão</t>
        </r>
      </text>
    </comment>
    <comment ref="C478" authorId="0" shapeId="0" xr:uid="{00000000-0006-0000-0000-0000A7000000}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487" authorId="0" shapeId="0" xr:uid="{00000000-0006-0000-0000-0000A8000000}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  <comment ref="D534" authorId="1" shapeId="0" xr:uid="{00000000-0006-0000-0000-0000A9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Conforme Acordo Coletivo</t>
        </r>
      </text>
    </comment>
    <comment ref="D546" authorId="1" shapeId="0" xr:uid="{00000000-0006-0000-0000-0000AA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Conforme Acordo Coletivo</t>
        </r>
      </text>
    </comment>
    <comment ref="D583" authorId="1" shapeId="0" xr:uid="{00000000-0006-0000-0000-0000AB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Informar o valor unitário diário do vale refeição, considerando o desconto aplicável ao funcionário, conforme Convenção Coletiva da categoria.
Conf. SINDASSEIO c/ desconto </t>
        </r>
        <r>
          <rPr>
            <sz val="8"/>
            <color indexed="10"/>
            <rFont val="Tahoma"/>
            <family val="2"/>
          </rPr>
          <t>= R$ 19,18</t>
        </r>
      </text>
    </comment>
    <comment ref="D592" authorId="0" shapeId="0" xr:uid="{00000000-0006-0000-0000-0000AC000000}">
      <text>
        <r>
          <rPr>
            <sz val="9"/>
            <color indexed="81"/>
            <rFont val="Tahoma"/>
            <family val="2"/>
          </rPr>
          <t>O valor da Contribuição é R$ 22,50 por empregado uma vez no ano</t>
        </r>
      </text>
    </comment>
    <comment ref="D598" authorId="0" shapeId="0" xr:uid="{00000000-0006-0000-0000-0000AD000000}">
      <text>
        <r>
          <rPr>
            <sz val="9"/>
            <color indexed="81"/>
            <rFont val="Tahoma"/>
            <family val="2"/>
          </rPr>
          <t xml:space="preserve">Valor por empregado por mês para o Plano Beneficio Social Familiar conforme Acordo Coletivo SINDIASSEIO
</t>
        </r>
      </text>
    </comment>
    <comment ref="D599" authorId="0" shapeId="0" xr:uid="{00000000-0006-0000-0000-0000AE000000}">
      <text/>
    </comment>
    <comment ref="A643" authorId="1" shapeId="0" xr:uid="{00000000-0006-0000-0000-0000AF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consumo 1 vassoura por mês;
São 08 varredores(as) = 08 vassouras por mês... Total  8 x 12 =</t>
        </r>
        <r>
          <rPr>
            <b/>
            <sz val="10"/>
            <color indexed="81"/>
            <rFont val="Tahoma"/>
            <family val="2"/>
          </rPr>
          <t xml:space="preserve"> 96 pçs. Por Ano</t>
        </r>
      </text>
    </comment>
    <comment ref="C643" authorId="0" shapeId="0" xr:uid="{00000000-0006-0000-0000-0000B0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643" authorId="0" shapeId="0" xr:uid="{00000000-0006-0000-0000-0000B1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644" authorId="0" shapeId="0" xr:uid="{00000000-0006-0000-0000-0000B2000000}">
      <text>
        <r>
          <rPr>
            <sz val="9"/>
            <color indexed="81"/>
            <rFont val="Tahoma"/>
            <family val="2"/>
          </rPr>
          <t xml:space="preserve">Previsão 8 pçs para 24 meses
8/24 = 1/3 mensal
</t>
        </r>
      </text>
    </comment>
    <comment ref="C645" authorId="0" shapeId="0" xr:uid="{00000000-0006-0000-0000-0000B3000000}">
      <text>
        <r>
          <rPr>
            <sz val="9"/>
            <color indexed="81"/>
            <rFont val="Tahoma"/>
            <family val="2"/>
          </rPr>
          <t xml:space="preserve">Previsão 20 pçs. Para 24 meses...
20/24 = 5/6 mensal
</t>
        </r>
      </text>
    </comment>
    <comment ref="A646" authorId="1" shapeId="0" xr:uid="{00000000-0006-0000-0000-0000B4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consumo 1 vassourão por mês;
São 08 varredores(as) = 08 vassourão por mês... Total  8 x 12 = 96 pçs. Por Ano</t>
        </r>
      </text>
    </comment>
    <comment ref="C646" authorId="0" shapeId="0" xr:uid="{00000000-0006-0000-0000-0000B5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646" authorId="1" shapeId="0" xr:uid="{00000000-0006-0000-0000-0000B6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Informar o valor unitário estimado para aquisição de cada material
</t>
        </r>
      </text>
    </comment>
    <comment ref="A647" authorId="1" shapeId="0" xr:uid="{00000000-0006-0000-0000-0000B7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Cada Varredor(a) consome 01 Vassourão a cada 3 meses = 04 por ano
São 08 Varredores(as)..Total = 32 pçs</t>
        </r>
      </text>
    </comment>
    <comment ref="C647" authorId="0" shapeId="0" xr:uid="{00000000-0006-0000-0000-0000B8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647" authorId="0" shapeId="0" xr:uid="{00000000-0006-0000-0000-0000B9000000}">
      <text>
        <r>
          <rPr>
            <sz val="9"/>
            <color indexed="81"/>
            <rFont val="Tahoma"/>
            <family val="2"/>
          </rPr>
          <t xml:space="preserve">Informar o valor unitário estimado para aquisição de cada material
</t>
        </r>
      </text>
    </comment>
    <comment ref="C648" authorId="0" shapeId="0" xr:uid="{00000000-0006-0000-0000-0000BA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648" authorId="1" shapeId="0" xr:uid="{00000000-0006-0000-0000-0000BB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Informar o valor unitário estimado para aquisição de cada material
</t>
        </r>
      </text>
    </comment>
    <comment ref="C649" authorId="0" shapeId="0" xr:uid="{00000000-0006-0000-0000-0000BC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649" authorId="1" shapeId="0" xr:uid="{00000000-0006-0000-0000-0000BD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Informar o valor unitário estimado para aquisição de cada material
</t>
        </r>
      </text>
    </comment>
    <comment ref="C650" authorId="1" shapeId="0" xr:uid="{00000000-0006-0000-0000-0000BE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quantidade utilizada por mês</t>
        </r>
      </text>
    </comment>
    <comment ref="A651" authorId="1" shapeId="0" xr:uid="{00000000-0006-0000-0000-0000BF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Previsão de aquisição de 20 Papeleiras 50 L</t>
        </r>
      </text>
    </comment>
    <comment ref="D651" authorId="0" shapeId="0" xr:uid="{00000000-0006-0000-0000-0000C0000000}">
      <text>
        <r>
          <rPr>
            <sz val="9"/>
            <color indexed="81"/>
            <rFont val="Tahoma"/>
            <family val="2"/>
          </rPr>
          <t>Informar o preço unitário do Equipamento.</t>
        </r>
      </text>
    </comment>
    <comment ref="A652" authorId="1" shapeId="0" xr:uid="{00000000-0006-0000-0000-0000C1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Previsão de Aquisição de 01 carrinho coletor para cada varredor(a)
São duas equipes de 04 varredor(a)
</t>
        </r>
        <r>
          <rPr>
            <b/>
            <sz val="10"/>
            <color indexed="81"/>
            <rFont val="Tahoma"/>
            <family val="2"/>
          </rPr>
          <t>Total = 08 Carrinhos Coletores</t>
        </r>
      </text>
    </comment>
    <comment ref="D652" authorId="1" shapeId="0" xr:uid="{00000000-0006-0000-0000-0000C2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Informar o valor unitário estimado para aquisição de cada material</t>
        </r>
      </text>
    </comment>
    <comment ref="A653" authorId="1" shapeId="0" xr:uid="{00000000-0006-0000-0000-0000C3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Previsão de reposição de 20 Papeleiras ao longo de 60 meses</t>
        </r>
      </text>
    </comment>
    <comment ref="A654" authorId="1" shapeId="0" xr:uid="{00000000-0006-0000-0000-0000C4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Previsão de Reposição de 8 Carrinhos Coletores ao longo de 60 meses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1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12" authorId="0" shapeId="0" xr:uid="{00000000-0006-0000-0600-000001000000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 xr:uid="{00000000-0006-0000-0600-000003000000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9" authorId="0" shapeId="0" xr:uid="{00000000-0006-0000-0600-000005000000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 xr:uid="{00000000-0006-0000-0600-000006000000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 xr:uid="{00000000-0006-0000-0600-000007000000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<sst xmlns="http://schemas.openxmlformats.org/spreadsheetml/2006/main" count="1386" uniqueCount="614">
  <si>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</si>
  <si>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</si>
  <si>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</si>
  <si>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</si>
  <si>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</si>
  <si>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</si>
  <si>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</si>
  <si>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</si>
  <si>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</si>
  <si>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</si>
  <si>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</si>
  <si>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</si>
  <si>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</si>
  <si>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</si>
  <si>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</si>
  <si>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</si>
  <si>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</si>
  <si>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</si>
  <si>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</si>
  <si>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</si>
  <si>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</si>
  <si>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</si>
  <si>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</si>
  <si>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</si>
  <si>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</si>
  <si>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</si>
  <si>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</si>
  <si>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</si>
  <si>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</si>
  <si>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</si>
  <si>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</si>
  <si>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</si>
  <si>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</si>
  <si>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</si>
  <si>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</si>
  <si>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</si>
  <si>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</si>
  <si>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</si>
  <si>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</si>
  <si>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</si>
  <si>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</si>
  <si>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</si>
  <si>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</si>
  <si>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</si>
  <si>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</si>
  <si>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</si>
  <si>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</si>
  <si>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</si>
  <si>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</si>
  <si>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</si>
  <si>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</si>
  <si>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</si>
  <si>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</si>
  <si>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</si>
  <si>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</si>
  <si>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</si>
  <si>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</si>
  <si>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cj</t>
  </si>
  <si>
    <t>Total de mão-de-obra (postos de trabalho)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</si>
  <si>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</si>
  <si>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</si>
  <si>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</si>
  <si>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</si>
  <si>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</si>
  <si>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</si>
  <si>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</si>
  <si>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</si>
  <si>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</si>
  <si>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</si>
  <si>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</si>
  <si>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</si>
  <si>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</si>
  <si>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</si>
  <si>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</si>
  <si>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</si>
  <si>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</si>
  <si>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</si>
  <si>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</si>
  <si>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</si>
  <si>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</si>
  <si>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</si>
  <si>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</si>
  <si>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</si>
  <si>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</si>
  <si>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</si>
  <si>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</si>
  <si>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</si>
  <si>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</si>
  <si>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</si>
  <si>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</si>
  <si>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</si>
  <si>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</si>
  <si>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</si>
  <si>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</si>
  <si>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</si>
  <si>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</si>
  <si>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</si>
  <si>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</si>
  <si>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</si>
  <si>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</si>
  <si>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</si>
  <si>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</si>
  <si>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</si>
  <si>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</si>
  <si>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Depreciação mensal do compactador</t>
  </si>
  <si>
    <t>i = taxa de juros do mercado (sugere-se adotar a taxa SELIC)</t>
  </si>
  <si>
    <t>n = vida útil do bem em anos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</si>
  <si>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</si>
  <si>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</si>
  <si>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</si>
  <si>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</si>
  <si>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</si>
  <si>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</si>
  <si>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</si>
  <si>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</si>
  <si>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</si>
  <si>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</si>
  <si>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</si>
  <si>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</si>
  <si>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</si>
  <si>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</si>
  <si>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</si>
  <si>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</si>
  <si>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</si>
  <si>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</si>
  <si>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</si>
  <si>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</si>
  <si>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</si>
  <si>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</si>
  <si>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</si>
  <si>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</si>
  <si>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</si>
  <si>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</si>
  <si>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</si>
  <si>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</si>
  <si>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</si>
  <si>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</si>
  <si>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</si>
  <si>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</si>
  <si>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</si>
  <si>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</si>
  <si>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</si>
  <si>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</si>
  <si>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</si>
  <si>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</si>
  <si>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</si>
  <si>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</si>
  <si>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</si>
  <si>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</si>
  <si>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</si>
  <si>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</si>
  <si>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</si>
  <si>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</si>
  <si>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</si>
  <si>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</si>
  <si>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</si>
  <si>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</si>
  <si>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</si>
  <si>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</si>
  <si>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</si>
  <si>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</si>
  <si>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</si>
  <si>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</si>
  <si>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</si>
  <si>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</si>
  <si>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</si>
  <si>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</si>
  <si>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</si>
  <si>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</si>
  <si>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</si>
  <si>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</si>
  <si>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</si>
  <si>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</si>
  <si>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</si>
  <si>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</si>
  <si>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</si>
  <si>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</si>
  <si>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</si>
  <si>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</si>
  <si>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</si>
  <si>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</si>
  <si>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</si>
  <si>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</si>
  <si>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</si>
  <si>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</si>
  <si>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</si>
  <si>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</si>
  <si>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</si>
  <si>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</si>
  <si>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</si>
  <si>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</si>
  <si>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</si>
  <si>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</si>
  <si>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</si>
  <si>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</si>
  <si>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</si>
  <si>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</si>
  <si>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</si>
  <si>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Rio Grande do Sul  - Coleta de Resíduos Não-Perigosos - CNAE 38114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</si>
  <si>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</si>
  <si>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</si>
  <si>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</si>
  <si>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</si>
  <si>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</si>
  <si>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</si>
  <si>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</si>
  <si>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</si>
  <si>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</si>
  <si>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Descanso Semanal Remunerado (DSR) - hora extra</t>
  </si>
  <si>
    <t>C2</t>
  </si>
  <si>
    <t>B3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</si>
  <si>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</si>
  <si>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</si>
  <si>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</si>
  <si>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</si>
  <si>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</si>
  <si>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</si>
  <si>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</si>
  <si>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</si>
  <si>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</si>
  <si>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</si>
  <si>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</si>
  <si>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</si>
  <si>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</si>
  <si>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</si>
  <si>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</si>
  <si>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</si>
  <si>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</si>
  <si>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</si>
  <si>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</si>
  <si>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</si>
  <si>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</si>
  <si>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</si>
  <si>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</si>
  <si>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</si>
  <si>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</si>
  <si>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</si>
  <si>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</si>
  <si>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</si>
  <si>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</si>
  <si>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</si>
  <si>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</si>
  <si>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</si>
  <si>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</si>
  <si>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</si>
  <si>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</si>
  <si>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</si>
  <si>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</si>
  <si>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</si>
  <si>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</si>
  <si>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</si>
  <si>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</si>
  <si>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</si>
  <si>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</si>
  <si>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</si>
  <si>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</si>
  <si>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</si>
  <si>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</si>
  <si>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</si>
  <si>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</si>
  <si>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</si>
  <si>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</si>
  <si>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</si>
  <si>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</si>
  <si>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</si>
  <si>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</si>
  <si>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</si>
  <si>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</si>
  <si>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</si>
  <si>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</si>
  <si>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</si>
  <si>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</si>
  <si>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</si>
  <si>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 xml:space="preserve">1. Esta planilha é somente um modelo-base, devendo ser adaptada para cada caso concreto. </t>
  </si>
  <si>
    <t>Qualquer custo previsto no edital e não contemplado nesta planilha deverá ser devidamente incluído.</t>
  </si>
  <si>
    <t>4. As células azuis deverão ter seus valores preenchidos em outra planilha do arquivo.</t>
  </si>
  <si>
    <t>2. Antes de preenchê-la, leia a Orientação Técnica - Serviço de coleta de resíduos sólidos domiciliares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</si>
  <si>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</si>
  <si>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</si>
  <si>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</si>
  <si>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</si>
  <si>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</si>
  <si>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</si>
  <si>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</si>
  <si>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</si>
  <si>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Variação Emprego Absoluta de 01-01-2019 a 31-12-2019</t>
  </si>
  <si>
    <t>Estoque recuperado início do Período 01-01-2019</t>
  </si>
  <si>
    <t>Estoque recuperado final do Período 31-12-2019</t>
  </si>
  <si>
    <t>Preencha as células em amarelo</t>
  </si>
  <si>
    <t>Ajustado, de acordo com a nova Lei Federal nº 13.932/2019</t>
  </si>
  <si>
    <t>OBS:  COMO AINDA NÃO ESTÁ SENDO ATUALIZADO O CAGED</t>
  </si>
  <si>
    <t>SERÁ ADOTADO OS VALORES DE 2019</t>
  </si>
  <si>
    <t>OBS: ENCARGOS SOCIAIS BASEADOS NA ULTIMA ATUALIZAÇÃO DO CAGED (2019)</t>
  </si>
  <si>
    <t>1.4. Motorista Turno Intermediária</t>
  </si>
  <si>
    <t xml:space="preserve">ITEM 01. Coleta e Transporte de Resíduos Sólidos </t>
  </si>
  <si>
    <t>Síntese dos custos</t>
  </si>
  <si>
    <t>Item</t>
  </si>
  <si>
    <t>CUSTO TOTAL MENSAL - VARRIÇÃO REGIÃO CENTRAL</t>
  </si>
  <si>
    <t>Síntese de quantitativos</t>
  </si>
  <si>
    <t xml:space="preserve">1.1. Varredor (a) Turno do Dia </t>
  </si>
  <si>
    <t>Preço unitário</t>
  </si>
  <si>
    <t>Salário Normal</t>
  </si>
  <si>
    <t>varredor(a)</t>
  </si>
  <si>
    <t>1.2. Varredor (a) Turno da Intermediária</t>
  </si>
  <si>
    <t>Total por Supervisor</t>
  </si>
  <si>
    <t>supervisor(a)</t>
  </si>
  <si>
    <t>Varredor</t>
  </si>
  <si>
    <t>Custo Mensal com Mão-de-obra (R$/mês) ..............................................................................................</t>
  </si>
  <si>
    <t>2.1. Uniformes e EPI's para Varredor (a)</t>
  </si>
  <si>
    <t>Camiseta de algodão</t>
  </si>
  <si>
    <t>calçado de segurança (sem biqueira)</t>
  </si>
  <si>
    <t>Higienização de uniformes e EPI's</t>
  </si>
  <si>
    <t>pessoas</t>
  </si>
  <si>
    <t>Custo Mensal com Uniformes e EPI's (R$/mês) .........................................................................</t>
  </si>
  <si>
    <t>3.2.3. Impostos e Seguros</t>
  </si>
  <si>
    <t>3.2.4. Consumos</t>
  </si>
  <si>
    <t>3.2.6. Pneus</t>
  </si>
  <si>
    <t>Custo Mensal com BDI (R$/mês) .............................................................................................</t>
  </si>
  <si>
    <t>CUSTOS MENSAL TOTAL (R$/mês) ....................................................................................................</t>
  </si>
  <si>
    <t>RATEIO DOS CUSTOS MENSAIS</t>
  </si>
  <si>
    <t>(A) Total de custos mensais:</t>
  </si>
  <si>
    <t xml:space="preserve">(B) Quantidade mensal de kilômetros  varridos : </t>
  </si>
  <si>
    <t>Kilômetros</t>
  </si>
  <si>
    <t xml:space="preserve">PREÇO POR KM DE VARRIÇÃO: A/B   </t>
  </si>
  <si>
    <t>R$/Km</t>
  </si>
  <si>
    <t>Supervisor (Lider Equipe)</t>
  </si>
  <si>
    <t>1.5. Supervisor (lider  Equipes) da Coleta Turno do Dia</t>
  </si>
  <si>
    <t>a vida média de caminhões de carga é de 6 a 7 anos.</t>
  </si>
  <si>
    <t>Em função do referido estudo e de que os caminhões vão trabalhar em dois turnos, adotaremos Vida Útil (econômica) de 7 (sete) Anos</t>
  </si>
  <si>
    <t>VIDA ÚTIL DE 07 ANOS...........DEPRECIAÇÃO CONF. TABELA TCE-RS = 60,29 %</t>
  </si>
  <si>
    <r>
      <rPr>
        <sz val="10"/>
        <color rgb="FFFF0000"/>
        <rFont val="Arial"/>
        <family val="2"/>
      </rPr>
      <t xml:space="preserve">OBS: </t>
    </r>
    <r>
      <rPr>
        <sz val="10"/>
        <rFont val="Arial"/>
        <family val="2"/>
      </rPr>
      <t xml:space="preserve"> Conforme estudos feitos por Motta e Calôba (2011) a respeito do Custo Anual Uniforme Equivalente (CAUE)</t>
    </r>
  </si>
  <si>
    <t xml:space="preserve">  A MÉDIA HISTÓRICA (ANO 2021) FOI DE 2.520 TONELADAS / MÊS</t>
  </si>
  <si>
    <t>1.8. Auxiliar de Apoio Turno Intermediária</t>
  </si>
  <si>
    <t>1.7. Auxiliar de Apoio Turno Dia</t>
  </si>
  <si>
    <t>Auxiliar de Apoio</t>
  </si>
  <si>
    <t>1.9. Vale Transporte</t>
  </si>
  <si>
    <t>1.10. Vale-refeição (diário)</t>
  </si>
  <si>
    <t>Supervisor</t>
  </si>
  <si>
    <t>Auxiliar</t>
  </si>
  <si>
    <t>Total por Auxiliar</t>
  </si>
  <si>
    <t>1.6. Supervisor (lider  Equipes) da Coleta Turno Interm.</t>
  </si>
  <si>
    <t>Total da Frota</t>
  </si>
  <si>
    <t xml:space="preserve">    Ver OBS: Célula </t>
  </si>
  <si>
    <t>Custo do jogo de pneus 275/80 R22.5</t>
  </si>
  <si>
    <r>
      <t xml:space="preserve">Custo jg. compl. +  1 </t>
    </r>
    <r>
      <rPr>
        <sz val="10"/>
        <rFont val="Arial"/>
        <family val="2"/>
      </rPr>
      <t>recap./ km rodado</t>
    </r>
  </si>
  <si>
    <t>3.2.1 Depreciação</t>
  </si>
  <si>
    <t>Custo de aquisição Veículo de Apoio</t>
  </si>
  <si>
    <t>3.2.2.Remuneração de Capital</t>
  </si>
  <si>
    <t>Custo mensal com o Kit de Filtros</t>
  </si>
  <si>
    <t>Custo da Gasolina / km rodado</t>
  </si>
  <si>
    <t>Custo mensal com gasolina</t>
  </si>
  <si>
    <t>Unidade /Ano</t>
  </si>
  <si>
    <t xml:space="preserve"> 3.2.5. Manutenção do Veículo de Apoio (Pickup)</t>
  </si>
  <si>
    <t>Custo de manutenção Pickup</t>
  </si>
  <si>
    <t>Custo do jogo de pneus 205/60 R15</t>
  </si>
  <si>
    <t>Número de trocas por pneu</t>
  </si>
  <si>
    <t>Custo daTroca</t>
  </si>
  <si>
    <t>Custo jg. compl./ km rodado</t>
  </si>
  <si>
    <t>Locação  terreno com Garagem e Instalações</t>
  </si>
  <si>
    <t>Custo mensal</t>
  </si>
  <si>
    <t>Cone de Sinalização</t>
  </si>
  <si>
    <t>6. Instalações / Canteiro</t>
  </si>
  <si>
    <t>7. Benefícios e Despesas Indiretas - BDI</t>
  </si>
  <si>
    <t>Custo Mensal Garagem /Instalações (R$ / Mês)</t>
  </si>
  <si>
    <t xml:space="preserve">2.2. Uniformes e EPI's para  Supervisor </t>
  </si>
  <si>
    <t>Camiseta  de Algodão</t>
  </si>
  <si>
    <t>Total por Varredor(a)</t>
  </si>
  <si>
    <t xml:space="preserve">    ITEM 02. VARRIÇÃO REGIÃO CENTRAL </t>
  </si>
  <si>
    <t>Fator de Utilização</t>
  </si>
  <si>
    <t>Fator de Utilização (FU)</t>
  </si>
  <si>
    <t>Vale Refeição</t>
  </si>
  <si>
    <t>1.3. Supervisor (lider  Equipes)</t>
  </si>
  <si>
    <t>1.4. Vale Transporte</t>
  </si>
  <si>
    <t>Varredor(a)</t>
  </si>
  <si>
    <t>1.5.Vale Refeição (Diário)</t>
  </si>
  <si>
    <t>Total (R$) com Vale Transporte</t>
  </si>
  <si>
    <t>Total (R$) com Vale Alimentação</t>
  </si>
  <si>
    <t>dias</t>
  </si>
  <si>
    <t>Total (R$)</t>
  </si>
  <si>
    <t xml:space="preserve">  (A) PREÇO MENSAL TOTAL (R$/mês)</t>
  </si>
  <si>
    <r>
      <t xml:space="preserve"> </t>
    </r>
    <r>
      <rPr>
        <b/>
        <sz val="10"/>
        <rFont val="Arial"/>
        <family val="2"/>
      </rPr>
      <t xml:space="preserve"> (B) Quantidade média de resíduos coletados por mês: </t>
    </r>
  </si>
  <si>
    <t xml:space="preserve"> Custo Total Ferramentas e Materiais de Consumo</t>
  </si>
  <si>
    <t>CUSTO TOTAL MÁXIMO MENSAL-COLETA-TRANSPORTE E VARRIÇÃO (R$)</t>
  </si>
  <si>
    <t>CUSTO TOTAL MÁXIMO ANUAL - COLETA -TRANSPORTE E VARRIÇÃO (R$)</t>
  </si>
  <si>
    <t>horas trabalh.</t>
  </si>
  <si>
    <t>hora contabiliz.</t>
  </si>
  <si>
    <t>Descanso Semanal Remun. (DSR) - hora extra</t>
  </si>
  <si>
    <t>Remuneração mensal de capital da Pickup</t>
  </si>
  <si>
    <t>Total da Remuneração Mensal do Veículo</t>
  </si>
  <si>
    <t>1.2. Coletor Turno Intermediário</t>
  </si>
  <si>
    <t>1.8. Auxiliar de Apoio Turno Intermediário</t>
  </si>
  <si>
    <t>Tendo em vista que o CAGED (Cadastro Geral de Empregados e Desempregados) foi descontinuado em janeiro de 2020, esta planilha foi atualizada até 31/12/2019.</t>
  </si>
  <si>
    <t>ITENS</t>
  </si>
  <si>
    <t>PREÇO 1 (R$)</t>
  </si>
  <si>
    <t>FONTE</t>
  </si>
  <si>
    <t>DATA</t>
  </si>
  <si>
    <t>PREÇO 2 (R$)</t>
  </si>
  <si>
    <t>PREÇO 3  (R$)</t>
  </si>
  <si>
    <t>PREÇO (mediana)     Unitário (R$ )</t>
  </si>
  <si>
    <t>OBSERVAÇÕES</t>
  </si>
  <si>
    <t>EPI`s</t>
  </si>
  <si>
    <t>Luva de Proteção</t>
  </si>
  <si>
    <t>Magazine Luiza</t>
  </si>
  <si>
    <t>Mercado Livre</t>
  </si>
  <si>
    <t>um par de Luva</t>
  </si>
  <si>
    <t>Óculos de Segurança</t>
  </si>
  <si>
    <t>Mercado Shops</t>
  </si>
  <si>
    <t>Protetor Auricular</t>
  </si>
  <si>
    <t xml:space="preserve">um par </t>
  </si>
  <si>
    <t>Bota de Segurança</t>
  </si>
  <si>
    <t>Lojas Americacanas</t>
  </si>
  <si>
    <t>um par de botina</t>
  </si>
  <si>
    <t>Capa de Chuva</t>
  </si>
  <si>
    <t>Calça com reflexivo</t>
  </si>
  <si>
    <t xml:space="preserve">Mercado Livre </t>
  </si>
  <si>
    <t>Prometal</t>
  </si>
  <si>
    <t>Camiseta c/ reflexivo</t>
  </si>
  <si>
    <t>Zengo Uniformes</t>
  </si>
  <si>
    <t>Camisa de brim c/ Reflexivo</t>
  </si>
  <si>
    <t>Uniformes Rubens Filho</t>
  </si>
  <si>
    <t>Canal Agrícola</t>
  </si>
  <si>
    <t>Meia Cano Alto</t>
  </si>
  <si>
    <t>Americanas</t>
  </si>
  <si>
    <t>Boné/ capuz p/ gari</t>
  </si>
  <si>
    <t>Casas Bahia</t>
  </si>
  <si>
    <t>Protetor Solar FPS 30 (Litro)</t>
  </si>
  <si>
    <t>16/12//2022</t>
  </si>
  <si>
    <t>Valor por Litro</t>
  </si>
  <si>
    <t xml:space="preserve">Colete com Reflexivo   </t>
  </si>
  <si>
    <t>Casa Ferrari</t>
  </si>
  <si>
    <t>Loja do Mecânico</t>
  </si>
  <si>
    <t>Jaqueta com Reflexico       NBR 15.292</t>
  </si>
  <si>
    <t>Adotado preço médio</t>
  </si>
  <si>
    <t>Higiênização de Uniformes</t>
  </si>
  <si>
    <t>Pregão Eletrônico     060/2022 Torres-RS</t>
  </si>
  <si>
    <t>Tamada Preços 05/2022 Barão do Triunfo-RS</t>
  </si>
  <si>
    <t>Pregão Eletrônico 009/2022 São Vicente do Sul-RS</t>
  </si>
  <si>
    <t>Valor da Higienização mensal por funcionário</t>
  </si>
  <si>
    <t>FERRAMENTAS/ ACESS.</t>
  </si>
  <si>
    <t>Vassoura Varrição Ext.</t>
  </si>
  <si>
    <t>Amazon</t>
  </si>
  <si>
    <t>Vassourão p/ Gari</t>
  </si>
  <si>
    <t>Joli.com.br</t>
  </si>
  <si>
    <t>Pá para Varredor(a)</t>
  </si>
  <si>
    <t>Am,ericanas</t>
  </si>
  <si>
    <t>Lojas 360</t>
  </si>
  <si>
    <t>Pá  quarada tipo concha</t>
  </si>
  <si>
    <t>Carrinho Coletor c/ rodas</t>
  </si>
  <si>
    <t>Carrefour</t>
  </si>
  <si>
    <t>Carrinho Coletor p/ Varrição</t>
  </si>
  <si>
    <t>Contaêiner Pead 1000 L</t>
  </si>
  <si>
    <t xml:space="preserve">Contêiner com Munhão p/ basculamento e rodas </t>
  </si>
  <si>
    <t>Lixeira Metálica tipo Papeleira  50L</t>
  </si>
  <si>
    <t>Garrafa Térmica 5L</t>
  </si>
  <si>
    <t>Pneu 275/80  R 22.5</t>
  </si>
  <si>
    <t>Pneu 205/60 R15</t>
  </si>
  <si>
    <t>Saco de Lixo Preto Reforçado  100 L</t>
  </si>
  <si>
    <t>VEÍCULOS / EQUIPAM.</t>
  </si>
  <si>
    <t>Caminhão Compactador 12 M³ Ano 2021</t>
  </si>
  <si>
    <t>Pregão Presencial Nº 006/2021 Coqueiral-MG</t>
  </si>
  <si>
    <t>Painel de Preços Compra Nº 00012/2021</t>
  </si>
  <si>
    <t>Painel de Preços Compra Nº 0005/2021</t>
  </si>
  <si>
    <t>Caminhão com Coletor e Compactador 12 m³ (2021)</t>
  </si>
  <si>
    <t>Pregão Presencial 30/2022 - Vitor Graeff-RS</t>
  </si>
  <si>
    <t>Preço de cada Adesivo / Publicidade</t>
  </si>
  <si>
    <t>COMBUSTIVEIS / ÓLEOS</t>
  </si>
  <si>
    <t>Óleo Diesel</t>
  </si>
  <si>
    <t>Site Petrobrás</t>
  </si>
  <si>
    <t>Gasolina</t>
  </si>
  <si>
    <t>Aditivo Arla 32</t>
  </si>
  <si>
    <t>preço do litro</t>
  </si>
  <si>
    <t>Óleo de Transmissão / Câmbio</t>
  </si>
  <si>
    <t>Óleo Hidráulico</t>
  </si>
  <si>
    <t>startmaqimplementos.com.br</t>
  </si>
  <si>
    <t>lojascoplana.com</t>
  </si>
  <si>
    <t>Óleo do Motor Caminhão</t>
  </si>
  <si>
    <t>Óleo do Motor Pickup</t>
  </si>
  <si>
    <t>Graxa p/ Lubrificação</t>
  </si>
  <si>
    <t>preço do kilo</t>
  </si>
  <si>
    <t>Kit completo Filtros  Caminhão</t>
  </si>
  <si>
    <t>preço do Kit completo</t>
  </si>
  <si>
    <t>Kit Completo Filtros Pickup</t>
  </si>
  <si>
    <t>CONSUMOS CAMINHÃO</t>
  </si>
  <si>
    <t>Pregão Presencial 003/2022   Caçador-SC</t>
  </si>
  <si>
    <t>Pregâo Eletrônico 049/2022 Cachoeirinha-RS</t>
  </si>
  <si>
    <t>2,10 Km /Litro</t>
  </si>
  <si>
    <t>2,0Litros / 1.000 KM</t>
  </si>
  <si>
    <t>Consumo de 2 Litros de óleo a cada 1000 KM rodados</t>
  </si>
  <si>
    <t>0,66 Litros / 1.000 KM</t>
  </si>
  <si>
    <t>Consumo de 0,66 Litros a cada 1000 KM rodados</t>
  </si>
  <si>
    <t>3,48 Litros / 1.000 KM</t>
  </si>
  <si>
    <t>Consumo de 3,48 Litros a cada 1000 Km rodados</t>
  </si>
  <si>
    <t>1,0 KG / 1.000 KM</t>
  </si>
  <si>
    <t>Consumo de 1,0 Quilo a cada 1000 KM rodados</t>
  </si>
  <si>
    <t>Seguro contra Terceiros</t>
  </si>
  <si>
    <t>R$ / Ano</t>
  </si>
  <si>
    <t>Custo de Implantação -Monitoramento e Rastreamento da Frota</t>
  </si>
  <si>
    <t>Custo de implantação para cada caminhão, inclusive o reserva</t>
  </si>
  <si>
    <t>Custo de Manutenção -Monitoramento e Rastreamento da Frota</t>
  </si>
  <si>
    <t>Custo de Manutenção Mensal do Sistema de Monitoramento para cada caminhão, inclusive o Reserva</t>
  </si>
  <si>
    <t>Custo de Manutenção com Valor em Reais por KM rodado</t>
  </si>
  <si>
    <t xml:space="preserve">Custo da recapagem Pneus 275 / 80 R22.5 </t>
  </si>
  <si>
    <t>Custo da Recapagem de cada pneu</t>
  </si>
  <si>
    <t>INSTALAÇÕES / GARAGEM</t>
  </si>
  <si>
    <t>Locação pavilhão / garagem em Sapucaia do Sul</t>
  </si>
  <si>
    <t>vivareal.com.br</t>
  </si>
  <si>
    <t>imobiliariaideali.             com.br</t>
  </si>
  <si>
    <t>Custo Total da Depreciação do veiculo de Apoio</t>
  </si>
  <si>
    <r>
      <t xml:space="preserve">O NÚMERO DE PERCURSOS DE COLETA DIÁRIO POR VEÍCULO FOI DE </t>
    </r>
    <r>
      <rPr>
        <sz val="10"/>
        <color rgb="FFFF0000"/>
        <rFont val="Arial"/>
        <family val="2"/>
      </rPr>
      <t>2,7</t>
    </r>
    <r>
      <rPr>
        <sz val="10"/>
        <rFont val="Arial"/>
        <family val="2"/>
      </rPr>
      <t xml:space="preserve"> VIAGENS/ DIA</t>
    </r>
  </si>
  <si>
    <t>PELO CÁLCULO DA PLANILHA A FROTA RESULTOU = 5,98 CAMINHÕES</t>
  </si>
  <si>
    <t>SERÁ ADOTADO FROTA DE 6 (seis) CAMINHÕES + 01 (um) RESERVA...TOTAL 07 (Sete) CAMINHÔES COMPACTADORES</t>
  </si>
  <si>
    <t>Óleo diesel              (Km/Litro)</t>
  </si>
  <si>
    <t>òleo do Motor              (Litros / 1000 Km)</t>
  </si>
  <si>
    <t>Óleo da Transmissão  (Litros / 1000 Km)</t>
  </si>
  <si>
    <t>Óleo Hidráulico              (Litros / 1000 Km)</t>
  </si>
  <si>
    <t>Graxa p/ Lubrificação         (Kg / 1000 Km)</t>
  </si>
  <si>
    <t>pçs / ano</t>
  </si>
  <si>
    <t>cj / ano</t>
  </si>
  <si>
    <t>pçs / 5 anos</t>
  </si>
  <si>
    <t xml:space="preserve"> 3.Ferrramentas e Materiais de Consumo</t>
  </si>
  <si>
    <t>3. Ferramentas e Materiais de Consumo</t>
  </si>
  <si>
    <t>Recipiente térmico para água (5L)-12pçs</t>
  </si>
  <si>
    <t>Pá de Concha - 12 pçs</t>
  </si>
  <si>
    <t>Vassoura - 24 pçs</t>
  </si>
  <si>
    <t>Publicidade (adesivos veículos)  - 7 cjs.</t>
  </si>
  <si>
    <t>Pçs / ano</t>
  </si>
  <si>
    <t>Contêiner em PEAD 1000 Litros - 50 pçs.</t>
  </si>
  <si>
    <t>Reposição de conteiner em PEAD 1000 L - 50 pçs.</t>
  </si>
  <si>
    <t>Publicidade (adesivos equipamentos) - 50 pçs</t>
  </si>
  <si>
    <t>Cone de Sinalização - 18 pçs.</t>
  </si>
  <si>
    <t>4.Instalações / Sala Comercial</t>
  </si>
  <si>
    <t>5. Benefícios e Despesas Indiretas - BDI</t>
  </si>
  <si>
    <t>Vassoura - 96 pçs.</t>
  </si>
  <si>
    <t>Adesivos Publicidade Equipamentos Veículos</t>
  </si>
  <si>
    <t>Adesivos Publicidade equipam. Diversos</t>
  </si>
  <si>
    <t>Publicidade (adesivos -Carrinho Coletor) - 8 pçs.</t>
  </si>
  <si>
    <t>pçs. / ano</t>
  </si>
  <si>
    <t>Publicidade (adesivos - Lixeiras)- 20 pçs.</t>
  </si>
  <si>
    <t>Pá metálica p/ Varredor(a)- 16 pçs.</t>
  </si>
  <si>
    <t>Garrafão Térmico 5 Litros - 04 pçs.</t>
  </si>
  <si>
    <t>Lixeira tipo Papeleira 50 Litros - 20 pçs.</t>
  </si>
  <si>
    <t>Carrinho Coletor 120 Litros - 08 pçs.</t>
  </si>
  <si>
    <t>Reposição  Carrinho Coletor 120 Litros - 08 pçs.</t>
  </si>
  <si>
    <t>Reposição  Lixeira tipo Papeleira 50 Litros -20 pçs.</t>
  </si>
  <si>
    <t>Locação de sala Comercial p/ equipe Varrição</t>
  </si>
  <si>
    <t>zapimoveis.com.br</t>
  </si>
  <si>
    <t>chavesnamao.com.br</t>
  </si>
  <si>
    <t>Locação de sala Comercial para Vestiário e Guarda de Materiais (Equipe de Varrição)- próximo do Centro da Cidade</t>
  </si>
  <si>
    <t>Vassourão para Varrição - 32 pçs.</t>
  </si>
  <si>
    <t>Cone de Sinalização - 96 pçs.</t>
  </si>
  <si>
    <t>Equipe</t>
  </si>
  <si>
    <t>Provisão Financeira</t>
  </si>
  <si>
    <t>1.6. Contrib. Custeio da Atividade Sind. Patronal</t>
  </si>
  <si>
    <t>]</t>
  </si>
  <si>
    <t>adicionado em 31/07/2023  Andamento do Edital</t>
  </si>
  <si>
    <t>hora contabilz.</t>
  </si>
  <si>
    <t>Abono Salarial (CCT-Sinecarga)</t>
  </si>
  <si>
    <t>Sindiasseio</t>
  </si>
  <si>
    <t>1.13. Plano de Beneficio Social - Sindasseio</t>
  </si>
  <si>
    <t>1.11. Auxílio Alimentação (mensal)-Sinecarga</t>
  </si>
  <si>
    <t>Locação Mensal de Sala Comercial (vestiario e Guarda de Materiais)</t>
  </si>
  <si>
    <t>Total mensal</t>
  </si>
  <si>
    <t>1.12. Contrib. Anual Custeio da Ativ. Sind. Patronal</t>
  </si>
  <si>
    <t>Total mensal Beneficio Social</t>
  </si>
  <si>
    <t>1.7. Plano de Beneficio Social - Sindiasseio</t>
  </si>
  <si>
    <t>Com relação aos caminhões compactadores será considerado na Planilha de Composição dos Custos  Ano de fabricação 2023</t>
  </si>
  <si>
    <t>3.2. Veículo de Apoio Pickup Ano 2022</t>
  </si>
  <si>
    <t>Custo do Veículo de Apoio Ano 2022</t>
  </si>
  <si>
    <t xml:space="preserve">Custo de aquisição do chassis </t>
  </si>
  <si>
    <r>
      <t>3.1. Veículo Coletor Compactador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-</t>
    </r>
    <r>
      <rPr>
        <b/>
        <sz val="10"/>
        <color rgb="FFFF0000"/>
        <rFont val="Arial"/>
        <family val="2"/>
      </rPr>
      <t>Ano 2023</t>
    </r>
  </si>
  <si>
    <t>oceanob2b.com</t>
  </si>
  <si>
    <t>superepi.co.br</t>
  </si>
  <si>
    <t>multiseg.com.br</t>
  </si>
  <si>
    <t>site maisplast.com.br</t>
  </si>
  <si>
    <t>lojadomecanico.com.br</t>
  </si>
  <si>
    <t>larplasticos.com.br</t>
  </si>
  <si>
    <t>Life Clean Eirelli</t>
  </si>
  <si>
    <t>Promix Ltda</t>
  </si>
  <si>
    <t>pollofundidos.com.br</t>
  </si>
  <si>
    <t>pneustore.com.br</t>
  </si>
  <si>
    <t>gptires.com.br</t>
  </si>
  <si>
    <t>dpaschoal.com.br</t>
  </si>
  <si>
    <t>acheipneus.com.br</t>
  </si>
  <si>
    <t>Chassi Caminhão Ano 2023</t>
  </si>
  <si>
    <t>Tabela Fipe  Mercedes Atego 1729 Diesel (E5)</t>
  </si>
  <si>
    <t>Tabela Fipe VW 17-230 E Constellation Diesel (E5)</t>
  </si>
  <si>
    <t>Tabela Fipe Iveco Tector 17-320 4x2 Diesel(E6)</t>
  </si>
  <si>
    <t>Coletor Compactador 12 ou 15M3 com batedor de contêiner (Lifter)</t>
  </si>
  <si>
    <t>Empresa Damaeq Ltda</t>
  </si>
  <si>
    <t>Edital  Prefeitura Caçapava do Sul- Edital 3382/2023</t>
  </si>
  <si>
    <t>148.266,00 Reajustado pelo IPCA (Jul/23) para R$ 166.327,00</t>
  </si>
  <si>
    <t>Prefeitura de Caçador-SC- Pregão Presencial003/2022</t>
  </si>
  <si>
    <t>Tabela Fipe  Fiat Strada Endurance 1.4</t>
  </si>
  <si>
    <t>Tabela Fipe VW Saveiro Robust 1.6 total flex 8V</t>
  </si>
  <si>
    <t>Tabela Fipe VW SaveiroTrendline 1.6T flex 8V</t>
  </si>
  <si>
    <t>Site ANP</t>
  </si>
  <si>
    <t>fastcarbrasil</t>
  </si>
  <si>
    <t>0,85 Reajustado para R$ 0,92 para Jul/23</t>
  </si>
  <si>
    <t>571,00 Reajustado para R$ 618,78 para Jul/23</t>
  </si>
  <si>
    <t>Custo de Manutenção  dos caminhões Colettores por KM rodado</t>
  </si>
  <si>
    <t>Veículo Utilitário Pick-up Ano 2022</t>
  </si>
  <si>
    <t>Equipe (Sindiasseio)</t>
  </si>
  <si>
    <t>Setcergs- Sinecarga</t>
  </si>
  <si>
    <t>anual</t>
  </si>
  <si>
    <t>Saco de Lixo Plástico 100 Litros - 4992 pçs</t>
  </si>
  <si>
    <t>efacil.com.br</t>
  </si>
  <si>
    <t>Planilha de custos prefeitura Nonoai-05/2023</t>
  </si>
  <si>
    <t>Planilha de Custos Mato Queimado-RS</t>
  </si>
  <si>
    <t>pt.aliexpress.com</t>
  </si>
  <si>
    <r>
      <t xml:space="preserve">                                                           TABELA DE PREÇOS ESTIMADOS (</t>
    </r>
    <r>
      <rPr>
        <sz val="14"/>
        <color rgb="FFFF0000"/>
        <rFont val="Times New Roman"/>
        <family val="1"/>
      </rPr>
      <t>Alguns itens foram revisados em Agosto/2023</t>
    </r>
    <r>
      <rPr>
        <sz val="18"/>
        <color theme="1"/>
        <rFont val="Times New Roman"/>
        <family val="1"/>
      </rPr>
      <t>)</t>
    </r>
  </si>
  <si>
    <t xml:space="preserve">OBS:   o cálculo do IPVA é sobre o Chassi cujo valor FIPE </t>
  </si>
  <si>
    <t>(Ago / 2023) =</t>
  </si>
  <si>
    <t>OBS: Taxa Selic prevista para 2024 (Abaixo de 10%). Será adotado taxa de 10%</t>
  </si>
  <si>
    <t>PREÇO POR TONELADA COLETADA/TRANSPORTADA:  [A/B]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</si>
</sst>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R$&quot;\ #,##0.00;\-&quot;R$&quot;\ #,##0.00"/>
    <numFmt numFmtId="8" formatCode="&quot;R$&quot;\ #,##0.00;[Red]\-&quot;R$&quot;\ #,##0.00"/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</numFmts>
  <fonts count="6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9"/>
      <color indexed="10"/>
      <name val="Tahoma"/>
      <family val="2"/>
    </font>
    <font>
      <sz val="9"/>
      <color rgb="FFFF0000"/>
      <name val="Arial"/>
      <family val="2"/>
    </font>
    <font>
      <sz val="10"/>
      <color theme="5" tint="-0.249977111117893"/>
      <name val="Arial"/>
      <family val="2"/>
    </font>
    <font>
      <u/>
      <sz val="10"/>
      <color theme="4" tint="-0.249977111117893"/>
      <name val="Arial"/>
      <family val="2"/>
    </font>
    <font>
      <b/>
      <sz val="10"/>
      <color indexed="10"/>
      <name val="Arial"/>
      <family val="2"/>
    </font>
    <font>
      <b/>
      <sz val="10"/>
      <color theme="5" tint="-0.249977111117893"/>
      <name val="Arial"/>
      <family val="2"/>
    </font>
    <font>
      <sz val="8"/>
      <color indexed="10"/>
      <name val="Tahoma"/>
      <family val="2"/>
    </font>
    <font>
      <sz val="10"/>
      <color theme="5" tint="0.39997558519241921"/>
      <name val="Arial"/>
      <family val="2"/>
    </font>
    <font>
      <b/>
      <sz val="12"/>
      <color theme="5" tint="0.39997558519241921"/>
      <name val="Arial"/>
      <family val="2"/>
    </font>
    <font>
      <sz val="8"/>
      <color theme="1"/>
      <name val="Times New Roman"/>
      <family val="1"/>
    </font>
    <font>
      <b/>
      <sz val="10"/>
      <color indexed="10"/>
      <name val="Tahoma"/>
      <family val="2"/>
    </font>
    <font>
      <sz val="8"/>
      <color rgb="FFFF0000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Segoe UI"/>
      <family val="2"/>
    </font>
    <font>
      <b/>
      <sz val="10"/>
      <color theme="0"/>
      <name val="Arial"/>
      <family val="2"/>
    </font>
    <font>
      <b/>
      <sz val="9"/>
      <color indexed="81"/>
      <name val="Segoe UI"/>
      <family val="2"/>
    </font>
    <font>
      <sz val="9"/>
      <color indexed="10"/>
      <name val="Segoe UI"/>
      <family val="2"/>
    </font>
    <font>
      <sz val="14"/>
      <color rgb="FFFF0000"/>
      <name val="Arial"/>
      <family val="2"/>
    </font>
    <font>
      <sz val="8"/>
      <color theme="5" tint="-0.249977111117893"/>
      <name val="Times New Roman"/>
      <family val="1"/>
    </font>
    <font>
      <sz val="18"/>
      <color theme="1"/>
      <name val="Times New Roman"/>
      <family val="1"/>
    </font>
    <font>
      <sz val="14"/>
      <color rgb="FFFF0000"/>
      <name val="Times New Roman"/>
      <family val="1"/>
    </font>
    <font>
      <sz val="10"/>
      <name val="Times New Roman"/>
      <family val="1"/>
    </font>
    <font>
      <sz val="12"/>
      <color indexed="10"/>
      <name val="Tahoma"/>
      <family val="2"/>
    </font>
    <font>
      <sz val="12"/>
      <color indexed="10"/>
      <name val="Segoe UI"/>
      <family val="2"/>
    </font>
    <font>
      <sz val="14"/>
      <color indexed="10"/>
      <name val="Segoe UI"/>
      <family val="2"/>
    </font>
    <font>
      <sz val="12"/>
      <color theme="5" tint="-0.2499465926084170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67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3" applyFont="1" applyAlignment="1">
      <alignment horizontal="center" vertical="center"/>
    </xf>
    <xf numFmtId="165" fontId="3" fillId="2" borderId="4" xfId="3" applyFont="1" applyFill="1" applyBorder="1" applyAlignment="1">
      <alignment horizontal="center" vertical="center"/>
    </xf>
    <xf numFmtId="165" fontId="3" fillId="2" borderId="4" xfId="3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5" fontId="3" fillId="0" borderId="6" xfId="3" applyFont="1" applyBorder="1" applyAlignment="1">
      <alignment vertical="center"/>
    </xf>
    <xf numFmtId="165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5" fontId="6" fillId="0" borderId="6" xfId="3" applyFont="1" applyBorder="1" applyAlignment="1">
      <alignment vertical="center"/>
    </xf>
    <xf numFmtId="165" fontId="6" fillId="0" borderId="7" xfId="3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5" fontId="3" fillId="0" borderId="0" xfId="3" applyFont="1" applyFill="1" applyBorder="1" applyAlignment="1">
      <alignment horizontal="center" vertical="center"/>
    </xf>
    <xf numFmtId="165" fontId="3" fillId="0" borderId="0" xfId="3" applyFont="1" applyBorder="1" applyAlignment="1">
      <alignment vertical="center"/>
    </xf>
    <xf numFmtId="165" fontId="5" fillId="0" borderId="0" xfId="3" applyFont="1" applyAlignment="1">
      <alignment vertical="center"/>
    </xf>
    <xf numFmtId="166" fontId="6" fillId="0" borderId="1" xfId="3" applyNumberFormat="1" applyFont="1" applyBorder="1" applyAlignment="1">
      <alignment vertical="center"/>
    </xf>
    <xf numFmtId="165" fontId="6" fillId="0" borderId="0" xfId="3" applyFont="1"/>
    <xf numFmtId="165" fontId="4" fillId="0" borderId="0" xfId="3" applyFont="1" applyAlignment="1">
      <alignment vertical="center"/>
    </xf>
    <xf numFmtId="165" fontId="0" fillId="0" borderId="11" xfId="3" applyFont="1" applyBorder="1" applyAlignment="1">
      <alignment vertical="center"/>
    </xf>
    <xf numFmtId="165" fontId="3" fillId="0" borderId="12" xfId="3" applyFont="1" applyBorder="1" applyAlignment="1">
      <alignment horizontal="center" vertical="center"/>
    </xf>
    <xf numFmtId="165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5" fontId="3" fillId="0" borderId="0" xfId="3" applyFont="1" applyAlignment="1">
      <alignment vertical="center"/>
    </xf>
    <xf numFmtId="165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5" fontId="0" fillId="0" borderId="9" xfId="3" applyFont="1" applyBorder="1" applyAlignment="1">
      <alignment vertical="center"/>
    </xf>
    <xf numFmtId="165" fontId="3" fillId="0" borderId="13" xfId="3" applyFont="1" applyBorder="1" applyAlignment="1">
      <alignment horizontal="right" vertical="center"/>
    </xf>
    <xf numFmtId="165" fontId="0" fillId="0" borderId="14" xfId="3" applyFont="1" applyBorder="1" applyAlignment="1">
      <alignment vertical="center"/>
    </xf>
    <xf numFmtId="165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65" fontId="6" fillId="0" borderId="0" xfId="3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5" fontId="6" fillId="0" borderId="0" xfId="3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65" fontId="13" fillId="2" borderId="17" xfId="3" applyFont="1" applyFill="1" applyBorder="1" applyAlignment="1">
      <alignment horizontal="center" vertical="center"/>
    </xf>
    <xf numFmtId="165" fontId="13" fillId="2" borderId="18" xfId="3" applyFont="1" applyFill="1" applyBorder="1" applyAlignment="1">
      <alignment horizontal="center" vertical="center"/>
    </xf>
    <xf numFmtId="165" fontId="3" fillId="0" borderId="19" xfId="3" applyFont="1" applyBorder="1" applyAlignment="1">
      <alignment horizontal="center" vertical="center"/>
    </xf>
    <xf numFmtId="165" fontId="1" fillId="0" borderId="14" xfId="3" applyFont="1" applyBorder="1" applyAlignment="1">
      <alignment horizontal="left" vertical="center"/>
    </xf>
    <xf numFmtId="165" fontId="6" fillId="0" borderId="9" xfId="3" applyFont="1" applyBorder="1" applyAlignment="1">
      <alignment vertical="center"/>
    </xf>
    <xf numFmtId="165" fontId="6" fillId="0" borderId="14" xfId="3" applyFont="1" applyBorder="1" applyAlignment="1">
      <alignment vertical="center"/>
    </xf>
    <xf numFmtId="166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0" xfId="3" applyNumberFormat="1" applyFont="1" applyBorder="1" applyAlignment="1">
      <alignment horizontal="center" vertical="center"/>
    </xf>
    <xf numFmtId="165" fontId="3" fillId="0" borderId="28" xfId="3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165" fontId="6" fillId="0" borderId="19" xfId="3" applyFont="1" applyBorder="1" applyAlignment="1">
      <alignment vertical="center"/>
    </xf>
    <xf numFmtId="165" fontId="6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6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3" fillId="0" borderId="31" xfId="3" applyNumberFormat="1" applyFont="1" applyBorder="1" applyAlignment="1">
      <alignment horizontal="center" vertical="center"/>
    </xf>
    <xf numFmtId="165" fontId="12" fillId="0" borderId="1" xfId="3" applyFont="1" applyBorder="1" applyAlignment="1">
      <alignment horizontal="center" vertical="center"/>
    </xf>
    <xf numFmtId="165" fontId="6" fillId="0" borderId="1" xfId="3" applyFont="1" applyFill="1" applyBorder="1" applyAlignment="1">
      <alignment horizontal="center" vertical="center"/>
    </xf>
    <xf numFmtId="165" fontId="11" fillId="0" borderId="0" xfId="3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5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6" fontId="6" fillId="0" borderId="1" xfId="3" applyNumberFormat="1" applyFont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7" fontId="6" fillId="3" borderId="2" xfId="3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6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3" applyFont="1" applyBorder="1" applyAlignment="1">
      <alignment horizontal="center" vertical="center"/>
    </xf>
    <xf numFmtId="165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165" fontId="13" fillId="2" borderId="33" xfId="3" applyFont="1" applyFill="1" applyBorder="1" applyAlignment="1">
      <alignment horizontal="center" vertical="center"/>
    </xf>
    <xf numFmtId="165" fontId="6" fillId="0" borderId="0" xfId="3" applyFont="1" applyFill="1" applyAlignment="1">
      <alignment vertical="center"/>
    </xf>
    <xf numFmtId="165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4" fontId="3" fillId="0" borderId="34" xfId="0" applyNumberFormat="1" applyFont="1" applyBorder="1" applyAlignment="1">
      <alignment vertical="center"/>
    </xf>
    <xf numFmtId="165" fontId="3" fillId="0" borderId="35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3" applyFont="1" applyAlignment="1">
      <alignment horizontal="center" vertical="center"/>
    </xf>
    <xf numFmtId="165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6" fillId="0" borderId="0" xfId="3" applyFont="1" applyAlignment="1">
      <alignment horizontal="right" vertical="center"/>
    </xf>
    <xf numFmtId="165" fontId="3" fillId="2" borderId="7" xfId="3" applyFont="1" applyFill="1" applyBorder="1" applyAlignment="1">
      <alignment horizontal="center" vertical="center"/>
    </xf>
    <xf numFmtId="165" fontId="3" fillId="0" borderId="14" xfId="3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165" fontId="3" fillId="0" borderId="9" xfId="3" applyFont="1" applyBorder="1" applyAlignment="1">
      <alignment vertical="center"/>
    </xf>
    <xf numFmtId="10" fontId="3" fillId="0" borderId="15" xfId="2" applyNumberFormat="1" applyFont="1" applyBorder="1" applyAlignment="1">
      <alignment vertical="center"/>
    </xf>
    <xf numFmtId="165" fontId="6" fillId="0" borderId="40" xfId="3" applyFont="1" applyBorder="1" applyAlignment="1">
      <alignment vertical="center"/>
    </xf>
    <xf numFmtId="165" fontId="6" fillId="0" borderId="41" xfId="3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1" fontId="6" fillId="0" borderId="37" xfId="3" applyNumberFormat="1" applyFont="1" applyBorder="1" applyAlignment="1">
      <alignment horizontal="center" vertical="center"/>
    </xf>
    <xf numFmtId="165" fontId="3" fillId="0" borderId="14" xfId="3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Continuous" vertical="center"/>
    </xf>
    <xf numFmtId="4" fontId="6" fillId="0" borderId="0" xfId="0" applyNumberFormat="1" applyFont="1" applyAlignment="1">
      <alignment vertical="center"/>
    </xf>
    <xf numFmtId="165" fontId="6" fillId="6" borderId="1" xfId="3" applyFont="1" applyFill="1" applyBorder="1" applyAlignment="1">
      <alignment horizontal="center" vertical="center"/>
    </xf>
    <xf numFmtId="165" fontId="6" fillId="6" borderId="1" xfId="3" applyFont="1" applyFill="1" applyBorder="1" applyAlignment="1">
      <alignment vertical="center"/>
    </xf>
    <xf numFmtId="9" fontId="3" fillId="0" borderId="18" xfId="2" applyFont="1" applyBorder="1" applyAlignment="1">
      <alignment vertical="center"/>
    </xf>
    <xf numFmtId="10" fontId="6" fillId="0" borderId="15" xfId="2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39" xfId="3" applyFont="1" applyFill="1" applyBorder="1" applyAlignment="1">
      <alignment vertical="center"/>
    </xf>
    <xf numFmtId="166" fontId="3" fillId="0" borderId="0" xfId="3" applyNumberFormat="1" applyFont="1" applyBorder="1" applyAlignment="1">
      <alignment horizontal="center" vertical="center"/>
    </xf>
    <xf numFmtId="0" fontId="18" fillId="0" borderId="14" xfId="0" applyFont="1" applyBorder="1"/>
    <xf numFmtId="0" fontId="18" fillId="0" borderId="47" xfId="0" applyFont="1" applyBorder="1"/>
    <xf numFmtId="0" fontId="18" fillId="3" borderId="20" xfId="0" applyFont="1" applyFill="1" applyBorder="1"/>
    <xf numFmtId="0" fontId="18" fillId="0" borderId="23" xfId="0" applyFont="1" applyBorder="1"/>
    <xf numFmtId="0" fontId="18" fillId="0" borderId="48" xfId="0" applyFont="1" applyBorder="1"/>
    <xf numFmtId="0" fontId="18" fillId="0" borderId="20" xfId="0" applyFont="1" applyBorder="1"/>
    <xf numFmtId="0" fontId="18" fillId="0" borderId="28" xfId="0" applyFont="1" applyBorder="1"/>
    <xf numFmtId="2" fontId="19" fillId="7" borderId="1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2" fontId="19" fillId="7" borderId="36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10" fontId="19" fillId="0" borderId="20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10" fontId="23" fillId="0" borderId="20" xfId="0" applyNumberFormat="1" applyFont="1" applyBorder="1" applyAlignment="1">
      <alignment horizontal="right" vertical="center"/>
    </xf>
    <xf numFmtId="0" fontId="19" fillId="5" borderId="23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20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9" borderId="24" xfId="0" applyFont="1" applyFill="1" applyBorder="1" applyAlignment="1">
      <alignment horizontal="left" vertical="center"/>
    </xf>
    <xf numFmtId="0" fontId="23" fillId="9" borderId="36" xfId="0" applyFont="1" applyFill="1" applyBorder="1" applyAlignment="1">
      <alignment horizontal="left" vertical="center"/>
    </xf>
    <xf numFmtId="10" fontId="23" fillId="9" borderId="37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10" fontId="23" fillId="0" borderId="0" xfId="0" applyNumberFormat="1" applyFont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10" fontId="19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justify" vertical="center"/>
    </xf>
    <xf numFmtId="0" fontId="8" fillId="0" borderId="0" xfId="1" applyBorder="1" applyAlignment="1" applyProtection="1">
      <alignment horizontal="left" vertical="center"/>
    </xf>
    <xf numFmtId="0" fontId="27" fillId="0" borderId="0" xfId="0" applyFont="1"/>
    <xf numFmtId="0" fontId="19" fillId="0" borderId="0" xfId="0" applyFont="1" applyAlignment="1">
      <alignment horizontal="right" vertical="center"/>
    </xf>
    <xf numFmtId="0" fontId="8" fillId="0" borderId="0" xfId="1" applyBorder="1" applyAlignment="1" applyProtection="1">
      <alignment vertical="center"/>
    </xf>
    <xf numFmtId="0" fontId="5" fillId="0" borderId="15" xfId="0" applyFont="1" applyBorder="1"/>
    <xf numFmtId="0" fontId="5" fillId="0" borderId="23" xfId="0" applyFont="1" applyBorder="1"/>
    <xf numFmtId="0" fontId="5" fillId="3" borderId="20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49" xfId="0" applyFont="1" applyBorder="1"/>
    <xf numFmtId="0" fontId="5" fillId="3" borderId="50" xfId="0" applyFont="1" applyFill="1" applyBorder="1"/>
    <xf numFmtId="0" fontId="5" fillId="0" borderId="38" xfId="0" applyFont="1" applyBorder="1"/>
    <xf numFmtId="0" fontId="5" fillId="0" borderId="39" xfId="0" applyFont="1" applyBorder="1"/>
    <xf numFmtId="0" fontId="7" fillId="0" borderId="48" xfId="0" applyFont="1" applyBorder="1"/>
    <xf numFmtId="0" fontId="7" fillId="0" borderId="38" xfId="0" applyFont="1" applyBorder="1" applyAlignment="1">
      <alignment horizontal="left" vertical="center"/>
    </xf>
    <xf numFmtId="9" fontId="5" fillId="0" borderId="23" xfId="2" applyFont="1" applyBorder="1"/>
    <xf numFmtId="9" fontId="5" fillId="0" borderId="1" xfId="2" applyFont="1" applyBorder="1" applyAlignment="1">
      <alignment horizontal="center"/>
    </xf>
    <xf numFmtId="9" fontId="5" fillId="0" borderId="20" xfId="2" applyFont="1" applyBorder="1"/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10" fontId="5" fillId="3" borderId="12" xfId="0" applyNumberFormat="1" applyFont="1" applyFill="1" applyBorder="1" applyAlignment="1">
      <alignment horizontal="center" vertical="center"/>
    </xf>
    <xf numFmtId="10" fontId="5" fillId="0" borderId="20" xfId="2" applyNumberFormat="1" applyFont="1" applyBorder="1"/>
    <xf numFmtId="0" fontId="5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0" fontId="5" fillId="3" borderId="20" xfId="0" applyNumberFormat="1" applyFont="1" applyFill="1" applyBorder="1" applyAlignment="1">
      <alignment horizontal="center" vertical="center"/>
    </xf>
    <xf numFmtId="10" fontId="5" fillId="0" borderId="20" xfId="0" applyNumberFormat="1" applyFont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0" xfId="0" applyFont="1" applyBorder="1"/>
    <xf numFmtId="0" fontId="5" fillId="0" borderId="24" xfId="0" applyFont="1" applyBorder="1" applyAlignment="1">
      <alignment horizontal="left" vertical="center"/>
    </xf>
    <xf numFmtId="10" fontId="5" fillId="3" borderId="3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10" fontId="5" fillId="0" borderId="27" xfId="0" applyNumberFormat="1" applyFont="1" applyBorder="1" applyAlignment="1">
      <alignment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20" xfId="2" applyNumberFormat="1" applyFont="1" applyBorder="1" applyAlignment="1">
      <alignment horizontal="right"/>
    </xf>
    <xf numFmtId="10" fontId="5" fillId="0" borderId="24" xfId="2" applyNumberFormat="1" applyFont="1" applyBorder="1" applyAlignment="1">
      <alignment horizontal="right"/>
    </xf>
    <xf numFmtId="10" fontId="5" fillId="0" borderId="36" xfId="2" applyNumberFormat="1" applyFont="1" applyBorder="1" applyAlignment="1">
      <alignment horizontal="right"/>
    </xf>
    <xf numFmtId="10" fontId="5" fillId="0" borderId="37" xfId="2" applyNumberFormat="1" applyFont="1" applyBorder="1" applyAlignment="1">
      <alignment horizontal="right"/>
    </xf>
    <xf numFmtId="0" fontId="6" fillId="0" borderId="52" xfId="0" applyFont="1" applyBorder="1"/>
    <xf numFmtId="0" fontId="20" fillId="0" borderId="52" xfId="0" applyFont="1" applyBorder="1" applyAlignment="1">
      <alignment horizontal="justify"/>
    </xf>
    <xf numFmtId="0" fontId="20" fillId="0" borderId="53" xfId="0" applyFont="1" applyBorder="1" applyAlignment="1">
      <alignment horizontal="justify"/>
    </xf>
    <xf numFmtId="0" fontId="17" fillId="10" borderId="51" xfId="0" applyFont="1" applyFill="1" applyBorder="1" applyAlignment="1">
      <alignment horizontal="center"/>
    </xf>
    <xf numFmtId="0" fontId="6" fillId="0" borderId="9" xfId="0" applyFont="1" applyBorder="1" applyAlignment="1">
      <alignment vertical="center"/>
    </xf>
    <xf numFmtId="165" fontId="6" fillId="3" borderId="9" xfId="3" applyFont="1" applyFill="1" applyBorder="1" applyAlignment="1">
      <alignment vertical="center"/>
    </xf>
    <xf numFmtId="165" fontId="6" fillId="0" borderId="10" xfId="3" applyFont="1" applyBorder="1" applyAlignment="1">
      <alignment vertical="center"/>
    </xf>
    <xf numFmtId="165" fontId="3" fillId="0" borderId="7" xfId="3" applyFont="1" applyBorder="1" applyAlignment="1">
      <alignment horizontal="right" vertical="center"/>
    </xf>
    <xf numFmtId="168" fontId="3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3" fillId="0" borderId="36" xfId="0" applyNumberFormat="1" applyFont="1" applyBorder="1" applyAlignment="1">
      <alignment vertical="center"/>
    </xf>
    <xf numFmtId="165" fontId="3" fillId="0" borderId="11" xfId="3" applyFont="1" applyBorder="1" applyAlignment="1">
      <alignment vertical="center"/>
    </xf>
    <xf numFmtId="165" fontId="3" fillId="0" borderId="5" xfId="3" applyFont="1" applyBorder="1" applyAlignment="1">
      <alignment vertical="center"/>
    </xf>
    <xf numFmtId="9" fontId="3" fillId="3" borderId="7" xfId="2" applyFont="1" applyFill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3" fillId="0" borderId="9" xfId="3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center" vertical="center"/>
    </xf>
    <xf numFmtId="166" fontId="3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7" fontId="6" fillId="0" borderId="2" xfId="3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54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165" fontId="3" fillId="0" borderId="54" xfId="3" applyFont="1" applyBorder="1" applyAlignment="1">
      <alignment horizontal="center" vertical="center"/>
    </xf>
    <xf numFmtId="165" fontId="3" fillId="0" borderId="54" xfId="3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7" fillId="0" borderId="23" xfId="0" applyFont="1" applyBorder="1"/>
    <xf numFmtId="0" fontId="7" fillId="0" borderId="1" xfId="0" applyFont="1" applyBorder="1"/>
    <xf numFmtId="0" fontId="7" fillId="0" borderId="20" xfId="0" applyFont="1" applyBorder="1"/>
    <xf numFmtId="0" fontId="5" fillId="0" borderId="1" xfId="0" applyFont="1" applyBorder="1"/>
    <xf numFmtId="170" fontId="24" fillId="0" borderId="20" xfId="3" applyNumberFormat="1" applyFont="1" applyBorder="1" applyAlignment="1">
      <alignment horizontal="center" vertical="center" wrapText="1"/>
    </xf>
    <xf numFmtId="171" fontId="5" fillId="0" borderId="20" xfId="0" applyNumberFormat="1" applyFont="1" applyBorder="1"/>
    <xf numFmtId="2" fontId="5" fillId="0" borderId="20" xfId="0" applyNumberFormat="1" applyFont="1" applyBorder="1"/>
    <xf numFmtId="0" fontId="5" fillId="0" borderId="24" xfId="0" applyFont="1" applyBorder="1"/>
    <xf numFmtId="0" fontId="5" fillId="0" borderId="36" xfId="0" applyFont="1" applyBorder="1"/>
    <xf numFmtId="171" fontId="5" fillId="3" borderId="20" xfId="0" applyNumberFormat="1" applyFont="1" applyFill="1" applyBorder="1"/>
    <xf numFmtId="171" fontId="5" fillId="0" borderId="37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172" fontId="5" fillId="3" borderId="20" xfId="0" applyNumberFormat="1" applyFont="1" applyFill="1" applyBorder="1"/>
    <xf numFmtId="0" fontId="5" fillId="0" borderId="23" xfId="0" applyFont="1" applyBorder="1" applyAlignment="1">
      <alignment horizontal="right"/>
    </xf>
    <xf numFmtId="4" fontId="31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4" fontId="32" fillId="0" borderId="0" xfId="0" applyNumberFormat="1" applyFont="1" applyAlignment="1">
      <alignment vertical="center"/>
    </xf>
    <xf numFmtId="0" fontId="30" fillId="0" borderId="0" xfId="0" applyFont="1"/>
    <xf numFmtId="0" fontId="1" fillId="0" borderId="2" xfId="0" applyFont="1" applyBorder="1" applyAlignment="1">
      <alignment vertical="center"/>
    </xf>
    <xf numFmtId="169" fontId="7" fillId="0" borderId="20" xfId="0" applyNumberFormat="1" applyFont="1" applyBorder="1"/>
    <xf numFmtId="9" fontId="18" fillId="0" borderId="20" xfId="2" applyFont="1" applyBorder="1"/>
    <xf numFmtId="10" fontId="18" fillId="0" borderId="20" xfId="2" applyNumberFormat="1" applyFont="1" applyBorder="1"/>
    <xf numFmtId="9" fontId="7" fillId="0" borderId="31" xfId="2" applyFont="1" applyBorder="1"/>
    <xf numFmtId="0" fontId="5" fillId="0" borderId="55" xfId="0" applyFont="1" applyBorder="1"/>
    <xf numFmtId="0" fontId="1" fillId="11" borderId="0" xfId="0" applyFont="1" applyFill="1"/>
    <xf numFmtId="0" fontId="6" fillId="11" borderId="0" xfId="0" applyFont="1" applyFill="1"/>
    <xf numFmtId="0" fontId="19" fillId="11" borderId="0" xfId="0" applyFont="1" applyFill="1" applyAlignment="1">
      <alignment horizontal="left" vertical="center"/>
    </xf>
    <xf numFmtId="10" fontId="19" fillId="11" borderId="0" xfId="0" applyNumberFormat="1" applyFont="1" applyFill="1" applyAlignment="1">
      <alignment horizontal="right" vertical="center"/>
    </xf>
    <xf numFmtId="165" fontId="0" fillId="0" borderId="0" xfId="3" applyFont="1" applyFill="1" applyAlignment="1">
      <alignment vertical="center"/>
    </xf>
    <xf numFmtId="165" fontId="0" fillId="0" borderId="56" xfId="3" applyFont="1" applyBorder="1" applyAlignment="1">
      <alignment vertical="center"/>
    </xf>
    <xf numFmtId="165" fontId="0" fillId="0" borderId="14" xfId="3" applyFont="1" applyBorder="1" applyAlignment="1">
      <alignment horizontal="left" vertical="center"/>
    </xf>
    <xf numFmtId="10" fontId="3" fillId="0" borderId="7" xfId="2" applyNumberFormat="1" applyFont="1" applyBorder="1" applyAlignment="1">
      <alignment vertical="center"/>
    </xf>
    <xf numFmtId="165" fontId="1" fillId="0" borderId="0" xfId="3" applyFont="1" applyAlignment="1">
      <alignment vertical="center"/>
    </xf>
    <xf numFmtId="165" fontId="1" fillId="0" borderId="0" xfId="3" applyFont="1" applyBorder="1" applyAlignment="1">
      <alignment vertical="center"/>
    </xf>
    <xf numFmtId="166" fontId="1" fillId="0" borderId="0" xfId="3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2" xfId="3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3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0" borderId="0" xfId="3" applyFont="1" applyAlignment="1">
      <alignment horizontal="center" vertical="center"/>
    </xf>
    <xf numFmtId="165" fontId="1" fillId="0" borderId="3" xfId="3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6" fontId="1" fillId="0" borderId="1" xfId="3" applyNumberFormat="1" applyFont="1" applyBorder="1" applyAlignment="1">
      <alignment vertical="center"/>
    </xf>
    <xf numFmtId="165" fontId="1" fillId="0" borderId="1" xfId="3" applyFont="1" applyBorder="1" applyAlignment="1">
      <alignment vertical="center"/>
    </xf>
    <xf numFmtId="165" fontId="3" fillId="2" borderId="7" xfId="3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5" fontId="1" fillId="0" borderId="0" xfId="3" applyFont="1"/>
    <xf numFmtId="0" fontId="33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165" fontId="1" fillId="0" borderId="6" xfId="3" applyFont="1" applyBorder="1" applyAlignment="1">
      <alignment vertical="center"/>
    </xf>
    <xf numFmtId="165" fontId="1" fillId="0" borderId="7" xfId="3" applyFont="1" applyBorder="1" applyAlignment="1">
      <alignment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2" fontId="1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165" fontId="7" fillId="0" borderId="10" xfId="3" applyFont="1" applyBorder="1" applyAlignment="1">
      <alignment vertical="center"/>
    </xf>
    <xf numFmtId="165" fontId="5" fillId="0" borderId="10" xfId="3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5" fontId="4" fillId="0" borderId="6" xfId="3" applyFont="1" applyBorder="1" applyAlignment="1">
      <alignment vertical="center"/>
    </xf>
    <xf numFmtId="165" fontId="4" fillId="0" borderId="7" xfId="3" applyFont="1" applyBorder="1" applyAlignment="1">
      <alignment horizontal="right" vertical="center"/>
    </xf>
    <xf numFmtId="165" fontId="4" fillId="2" borderId="4" xfId="3" applyFont="1" applyFill="1" applyBorder="1" applyAlignment="1">
      <alignment vertical="center"/>
    </xf>
    <xf numFmtId="10" fontId="1" fillId="0" borderId="0" xfId="2" applyNumberFormat="1" applyFont="1" applyBorder="1" applyAlignment="1">
      <alignment vertical="center"/>
    </xf>
    <xf numFmtId="10" fontId="3" fillId="0" borderId="0" xfId="2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5" fontId="3" fillId="2" borderId="0" xfId="3" applyFont="1" applyFill="1" applyBorder="1" applyAlignment="1">
      <alignment horizontal="center" vertical="center"/>
    </xf>
    <xf numFmtId="165" fontId="6" fillId="3" borderId="1" xfId="3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3" fontId="1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165" fontId="3" fillId="0" borderId="2" xfId="3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166" fontId="6" fillId="0" borderId="1" xfId="3" applyNumberFormat="1" applyFont="1" applyFill="1" applyBorder="1" applyAlignment="1"/>
    <xf numFmtId="1" fontId="6" fillId="0" borderId="59" xfId="3" applyNumberFormat="1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1" fontId="3" fillId="0" borderId="0" xfId="3" applyNumberFormat="1" applyFont="1" applyBorder="1" applyAlignment="1">
      <alignment horizontal="center" vertical="center"/>
    </xf>
    <xf numFmtId="165" fontId="13" fillId="0" borderId="0" xfId="3" applyFont="1" applyFill="1" applyBorder="1" applyAlignment="1">
      <alignment horizontal="center" vertical="center"/>
    </xf>
    <xf numFmtId="165" fontId="6" fillId="0" borderId="8" xfId="3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165" fontId="3" fillId="12" borderId="4" xfId="3" applyFont="1" applyFill="1" applyBorder="1" applyAlignment="1">
      <alignment horizontal="center" vertical="center"/>
    </xf>
    <xf numFmtId="165" fontId="3" fillId="4" borderId="0" xfId="3" applyFont="1" applyFill="1" applyBorder="1" applyAlignment="1">
      <alignment horizontal="center" vertical="center"/>
    </xf>
    <xf numFmtId="0" fontId="38" fillId="0" borderId="0" xfId="1" applyFont="1" applyAlignment="1" applyProtection="1">
      <alignment vertical="center"/>
    </xf>
    <xf numFmtId="165" fontId="6" fillId="0" borderId="1" xfId="0" applyNumberFormat="1" applyFont="1" applyBorder="1" applyAlignment="1">
      <alignment vertical="center"/>
    </xf>
    <xf numFmtId="7" fontId="6" fillId="0" borderId="1" xfId="0" applyNumberFormat="1" applyFont="1" applyBorder="1" applyAlignment="1">
      <alignment vertical="center"/>
    </xf>
    <xf numFmtId="7" fontId="6" fillId="0" borderId="8" xfId="0" applyNumberFormat="1" applyFont="1" applyBorder="1" applyAlignment="1">
      <alignment vertical="center"/>
    </xf>
    <xf numFmtId="165" fontId="13" fillId="4" borderId="0" xfId="3" applyFont="1" applyFill="1" applyBorder="1" applyAlignment="1">
      <alignment horizontal="center" vertical="center"/>
    </xf>
    <xf numFmtId="165" fontId="6" fillId="0" borderId="8" xfId="3" applyFont="1" applyBorder="1" applyAlignment="1">
      <alignment vertical="center"/>
    </xf>
    <xf numFmtId="7" fontId="1" fillId="12" borderId="4" xfId="0" applyNumberFormat="1" applyFont="1" applyFill="1" applyBorder="1" applyAlignment="1">
      <alignment vertical="center"/>
    </xf>
    <xf numFmtId="2" fontId="6" fillId="0" borderId="2" xfId="3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6" fillId="0" borderId="3" xfId="3" applyFont="1" applyBorder="1" applyAlignment="1">
      <alignment horizontal="center" vertical="center"/>
    </xf>
    <xf numFmtId="165" fontId="6" fillId="0" borderId="0" xfId="3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9" fontId="6" fillId="0" borderId="1" xfId="3" applyNumberFormat="1" applyFont="1" applyBorder="1" applyAlignment="1">
      <alignment horizontal="right" vertical="center"/>
    </xf>
    <xf numFmtId="165" fontId="13" fillId="2" borderId="7" xfId="3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165" fontId="6" fillId="0" borderId="61" xfId="3" applyFont="1" applyBorder="1" applyAlignment="1">
      <alignment horizontal="center" vertical="center"/>
    </xf>
    <xf numFmtId="13" fontId="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right" vertical="center"/>
    </xf>
    <xf numFmtId="165" fontId="6" fillId="0" borderId="2" xfId="3" applyFont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166" fontId="6" fillId="0" borderId="1" xfId="3" applyNumberFormat="1" applyFont="1" applyBorder="1" applyAlignment="1">
      <alignment horizontal="right" vertical="center"/>
    </xf>
    <xf numFmtId="13" fontId="6" fillId="3" borderId="3" xfId="0" applyNumberFormat="1" applyFont="1" applyFill="1" applyBorder="1" applyAlignment="1">
      <alignment horizontal="center" vertical="center"/>
    </xf>
    <xf numFmtId="165" fontId="6" fillId="3" borderId="62" xfId="3" applyFont="1" applyFill="1" applyBorder="1" applyAlignment="1">
      <alignment horizontal="center" vertical="center"/>
    </xf>
    <xf numFmtId="13" fontId="6" fillId="0" borderId="1" xfId="0" applyNumberFormat="1" applyFont="1" applyBorder="1" applyAlignment="1">
      <alignment horizontal="center" vertical="center"/>
    </xf>
    <xf numFmtId="165" fontId="1" fillId="0" borderId="0" xfId="3" applyFont="1" applyBorder="1" applyAlignment="1">
      <alignment horizontal="right" vertical="center"/>
    </xf>
    <xf numFmtId="165" fontId="1" fillId="0" borderId="1" xfId="3" applyFont="1" applyFill="1" applyBorder="1" applyAlignment="1">
      <alignment vertical="center"/>
    </xf>
    <xf numFmtId="165" fontId="13" fillId="2" borderId="34" xfId="3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65" fontId="6" fillId="0" borderId="6" xfId="3" applyFont="1" applyBorder="1" applyAlignment="1">
      <alignment horizontal="center" vertical="center"/>
    </xf>
    <xf numFmtId="165" fontId="6" fillId="0" borderId="7" xfId="3" applyFont="1" applyBorder="1" applyAlignment="1">
      <alignment horizontal="center" vertical="center"/>
    </xf>
    <xf numFmtId="165" fontId="3" fillId="9" borderId="4" xfId="3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vertical="center"/>
    </xf>
    <xf numFmtId="165" fontId="3" fillId="2" borderId="5" xfId="3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" fontId="6" fillId="6" borderId="1" xfId="3" applyNumberFormat="1" applyFont="1" applyFill="1" applyBorder="1" applyAlignment="1">
      <alignment horizontal="center" vertical="center"/>
    </xf>
    <xf numFmtId="0" fontId="1" fillId="14" borderId="0" xfId="0" applyFont="1" applyFill="1" applyAlignment="1">
      <alignment vertical="center"/>
    </xf>
    <xf numFmtId="4" fontId="1" fillId="14" borderId="0" xfId="0" applyNumberFormat="1" applyFont="1" applyFill="1" applyAlignment="1">
      <alignment vertical="center"/>
    </xf>
    <xf numFmtId="165" fontId="1" fillId="14" borderId="0" xfId="3" applyFont="1" applyFill="1" applyAlignment="1">
      <alignment vertical="center"/>
    </xf>
    <xf numFmtId="165" fontId="4" fillId="14" borderId="0" xfId="3" applyFont="1" applyFill="1" applyAlignment="1">
      <alignment vertical="center"/>
    </xf>
    <xf numFmtId="165" fontId="6" fillId="14" borderId="0" xfId="3" applyFont="1" applyFill="1" applyAlignment="1">
      <alignment vertical="center"/>
    </xf>
    <xf numFmtId="0" fontId="7" fillId="14" borderId="0" xfId="0" applyFont="1" applyFill="1" applyAlignment="1">
      <alignment horizontal="center" vertical="center"/>
    </xf>
    <xf numFmtId="0" fontId="0" fillId="14" borderId="0" xfId="0" applyFill="1" applyAlignment="1">
      <alignment vertical="center"/>
    </xf>
    <xf numFmtId="4" fontId="0" fillId="14" borderId="0" xfId="0" applyNumberFormat="1" applyFill="1" applyAlignment="1">
      <alignment vertical="center"/>
    </xf>
    <xf numFmtId="165" fontId="0" fillId="14" borderId="0" xfId="3" applyFont="1" applyFill="1" applyAlignment="1">
      <alignment vertical="center"/>
    </xf>
    <xf numFmtId="0" fontId="17" fillId="6" borderId="25" xfId="0" applyFont="1" applyFill="1" applyBorder="1" applyAlignment="1">
      <alignment horizontal="left" vertical="center"/>
    </xf>
    <xf numFmtId="0" fontId="17" fillId="6" borderId="26" xfId="0" applyFont="1" applyFill="1" applyBorder="1" applyAlignment="1">
      <alignment horizontal="left"/>
    </xf>
    <xf numFmtId="0" fontId="7" fillId="6" borderId="28" xfId="0" applyFont="1" applyFill="1" applyBorder="1" applyAlignment="1">
      <alignment horizontal="right"/>
    </xf>
    <xf numFmtId="0" fontId="7" fillId="6" borderId="29" xfId="0" applyFont="1" applyFill="1" applyBorder="1"/>
    <xf numFmtId="0" fontId="6" fillId="6" borderId="27" xfId="0" applyFont="1" applyFill="1" applyBorder="1" applyAlignment="1">
      <alignment vertical="center"/>
    </xf>
    <xf numFmtId="0" fontId="6" fillId="6" borderId="30" xfId="0" applyFont="1" applyFill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13" fillId="2" borderId="17" xfId="0" applyNumberFormat="1" applyFont="1" applyFill="1" applyBorder="1" applyAlignment="1">
      <alignment horizontal="center" vertical="center"/>
    </xf>
    <xf numFmtId="165" fontId="1" fillId="0" borderId="0" xfId="3" applyFont="1" applyFill="1" applyBorder="1" applyAlignment="1">
      <alignment vertical="center"/>
    </xf>
    <xf numFmtId="10" fontId="1" fillId="3" borderId="4" xfId="0" applyNumberFormat="1" applyFont="1" applyFill="1" applyBorder="1" applyAlignment="1">
      <alignment vertical="center"/>
    </xf>
    <xf numFmtId="165" fontId="1" fillId="0" borderId="0" xfId="3" applyFont="1" applyBorder="1" applyAlignment="1">
      <alignment horizontal="center" vertical="center"/>
    </xf>
    <xf numFmtId="165" fontId="1" fillId="0" borderId="3" xfId="3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2" borderId="4" xfId="3" applyNumberFormat="1" applyFont="1" applyFill="1" applyBorder="1" applyAlignment="1">
      <alignment vertical="center"/>
    </xf>
    <xf numFmtId="43" fontId="3" fillId="2" borderId="4" xfId="3" applyNumberFormat="1" applyFont="1" applyFill="1" applyBorder="1" applyAlignment="1">
      <alignment vertical="center"/>
    </xf>
    <xf numFmtId="165" fontId="1" fillId="0" borderId="4" xfId="3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65" fontId="3" fillId="8" borderId="4" xfId="3" applyFont="1" applyFill="1" applyBorder="1" applyAlignment="1">
      <alignment vertical="center"/>
    </xf>
    <xf numFmtId="165" fontId="1" fillId="0" borderId="0" xfId="3" applyFont="1" applyFill="1" applyAlignment="1">
      <alignment vertical="center"/>
    </xf>
    <xf numFmtId="0" fontId="1" fillId="0" borderId="8" xfId="0" applyFont="1" applyBorder="1" applyAlignment="1">
      <alignment vertical="center"/>
    </xf>
    <xf numFmtId="168" fontId="0" fillId="0" borderId="57" xfId="0" applyNumberFormat="1" applyBorder="1" applyAlignment="1">
      <alignment horizontal="right" vertical="center"/>
    </xf>
    <xf numFmtId="168" fontId="0" fillId="0" borderId="58" xfId="0" applyNumberFormat="1" applyBorder="1" applyAlignment="1">
      <alignment horizontal="right" vertical="center"/>
    </xf>
    <xf numFmtId="165" fontId="1" fillId="0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8" borderId="4" xfId="3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7" fontId="4" fillId="8" borderId="4" xfId="0" applyNumberFormat="1" applyFont="1" applyFill="1" applyBorder="1" applyAlignment="1">
      <alignment vertical="center"/>
    </xf>
    <xf numFmtId="165" fontId="4" fillId="8" borderId="4" xfId="3" applyFont="1" applyFill="1" applyBorder="1" applyAlignment="1">
      <alignment vertical="center"/>
    </xf>
    <xf numFmtId="4" fontId="7" fillId="0" borderId="9" xfId="3" applyNumberFormat="1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5" fontId="1" fillId="0" borderId="6" xfId="3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65" fontId="3" fillId="8" borderId="4" xfId="3" applyFont="1" applyFill="1" applyBorder="1" applyAlignment="1">
      <alignment horizontal="center" vertical="center"/>
    </xf>
    <xf numFmtId="1" fontId="1" fillId="0" borderId="0" xfId="3" applyNumberFormat="1" applyFont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3" fillId="0" borderId="1" xfId="3" applyFont="1" applyBorder="1" applyAlignment="1">
      <alignment horizontal="right" vertical="center"/>
    </xf>
    <xf numFmtId="165" fontId="3" fillId="0" borderId="1" xfId="3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42" fillId="13" borderId="0" xfId="0" applyFont="1" applyFill="1" applyAlignment="1">
      <alignment vertical="center"/>
    </xf>
    <xf numFmtId="4" fontId="42" fillId="13" borderId="0" xfId="0" applyNumberFormat="1" applyFont="1" applyFill="1" applyAlignment="1">
      <alignment vertical="center"/>
    </xf>
    <xf numFmtId="165" fontId="42" fillId="13" borderId="0" xfId="3" applyFont="1" applyFill="1" applyAlignment="1">
      <alignment vertical="center"/>
    </xf>
    <xf numFmtId="165" fontId="43" fillId="13" borderId="0" xfId="3" applyFont="1" applyFill="1" applyBorder="1" applyAlignment="1">
      <alignment vertical="center"/>
    </xf>
    <xf numFmtId="165" fontId="4" fillId="13" borderId="0" xfId="3" applyFont="1" applyFill="1" applyAlignment="1">
      <alignment vertical="center"/>
    </xf>
    <xf numFmtId="165" fontId="1" fillId="13" borderId="0" xfId="3" applyFont="1" applyFill="1" applyAlignment="1">
      <alignment vertical="center"/>
    </xf>
    <xf numFmtId="165" fontId="4" fillId="0" borderId="5" xfId="3" applyFont="1" applyBorder="1" applyAlignment="1">
      <alignment vertical="center"/>
    </xf>
    <xf numFmtId="165" fontId="4" fillId="0" borderId="4" xfId="3" applyFont="1" applyFill="1" applyBorder="1" applyAlignment="1">
      <alignment vertical="center"/>
    </xf>
    <xf numFmtId="1" fontId="6" fillId="0" borderId="4" xfId="3" applyNumberFormat="1" applyFont="1" applyBorder="1" applyAlignment="1">
      <alignment horizontal="center" vertical="center"/>
    </xf>
    <xf numFmtId="165" fontId="13" fillId="0" borderId="18" xfId="3" applyFont="1" applyFill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168" fontId="6" fillId="0" borderId="0" xfId="0" applyNumberFormat="1" applyFont="1" applyAlignment="1">
      <alignment vertical="center"/>
    </xf>
    <xf numFmtId="165" fontId="3" fillId="9" borderId="4" xfId="3" applyFont="1" applyFill="1" applyBorder="1" applyAlignment="1">
      <alignment vertical="center"/>
    </xf>
    <xf numFmtId="165" fontId="1" fillId="2" borderId="4" xfId="3" applyFont="1" applyFill="1" applyBorder="1" applyAlignment="1">
      <alignment horizontal="center" vertical="center"/>
    </xf>
    <xf numFmtId="165" fontId="1" fillId="0" borderId="4" xfId="3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right" vertical="center"/>
    </xf>
    <xf numFmtId="13" fontId="6" fillId="3" borderId="3" xfId="0" applyNumberFormat="1" applyFont="1" applyFill="1" applyBorder="1" applyAlignment="1">
      <alignment horizontal="right" vertical="center"/>
    </xf>
    <xf numFmtId="165" fontId="3" fillId="8" borderId="0" xfId="3" applyFont="1" applyFill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65" fontId="3" fillId="0" borderId="26" xfId="3" applyFont="1" applyBorder="1" applyAlignment="1">
      <alignment vertical="center"/>
    </xf>
    <xf numFmtId="165" fontId="3" fillId="0" borderId="27" xfId="3" applyFont="1" applyBorder="1" applyAlignment="1">
      <alignment vertical="center"/>
    </xf>
    <xf numFmtId="7" fontId="6" fillId="0" borderId="0" xfId="0" applyNumberFormat="1" applyFont="1" applyAlignment="1">
      <alignment vertical="center"/>
    </xf>
    <xf numFmtId="0" fontId="44" fillId="17" borderId="1" xfId="0" applyFont="1" applyFill="1" applyBorder="1" applyAlignment="1">
      <alignment horizontal="center" vertical="center" wrapText="1"/>
    </xf>
    <xf numFmtId="2" fontId="44" fillId="17" borderId="1" xfId="0" applyNumberFormat="1" applyFont="1" applyFill="1" applyBorder="1" applyAlignment="1">
      <alignment horizontal="center" vertical="center" wrapText="1"/>
    </xf>
    <xf numFmtId="2" fontId="44" fillId="17" borderId="62" xfId="0" applyNumberFormat="1" applyFont="1" applyFill="1" applyBorder="1" applyAlignment="1">
      <alignment horizontal="center" vertical="center" wrapText="1"/>
    </xf>
    <xf numFmtId="4" fontId="44" fillId="17" borderId="1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2" fontId="44" fillId="0" borderId="1" xfId="0" applyNumberFormat="1" applyFont="1" applyBorder="1" applyAlignment="1">
      <alignment horizontal="center" vertical="center" wrapText="1"/>
    </xf>
    <xf numFmtId="4" fontId="44" fillId="18" borderId="1" xfId="0" applyNumberFormat="1" applyFont="1" applyFill="1" applyBorder="1" applyAlignment="1">
      <alignment horizontal="center" vertical="center" wrapText="1"/>
    </xf>
    <xf numFmtId="14" fontId="44" fillId="0" borderId="1" xfId="0" applyNumberFormat="1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2" fontId="44" fillId="0" borderId="3" xfId="0" applyNumberFormat="1" applyFont="1" applyBorder="1" applyAlignment="1">
      <alignment horizontal="center" vertical="center" wrapText="1"/>
    </xf>
    <xf numFmtId="14" fontId="44" fillId="0" borderId="3" xfId="0" applyNumberFormat="1" applyFont="1" applyBorder="1" applyAlignment="1">
      <alignment horizontal="center" vertical="center" wrapText="1"/>
    </xf>
    <xf numFmtId="2" fontId="44" fillId="0" borderId="0" xfId="0" applyNumberFormat="1" applyFont="1" applyAlignment="1">
      <alignment horizontal="center" vertical="center" wrapText="1"/>
    </xf>
    <xf numFmtId="4" fontId="44" fillId="18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18" borderId="1" xfId="0" applyNumberForma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4" fontId="44" fillId="18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right" vertical="center"/>
    </xf>
    <xf numFmtId="2" fontId="44" fillId="3" borderId="1" xfId="0" applyNumberFormat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14" fontId="44" fillId="3" borderId="1" xfId="0" applyNumberFormat="1" applyFont="1" applyFill="1" applyBorder="1" applyAlignment="1">
      <alignment horizontal="center" vertical="center" wrapText="1"/>
    </xf>
    <xf numFmtId="4" fontId="46" fillId="18" borderId="1" xfId="0" applyNumberFormat="1" applyFont="1" applyFill="1" applyBorder="1" applyAlignment="1">
      <alignment horizontal="center" vertical="center" wrapText="1"/>
    </xf>
    <xf numFmtId="165" fontId="1" fillId="0" borderId="30" xfId="3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13" fontId="1" fillId="3" borderId="1" xfId="0" applyNumberFormat="1" applyFont="1" applyFill="1" applyBorder="1" applyAlignment="1">
      <alignment horizontal="center" vertical="center"/>
    </xf>
    <xf numFmtId="165" fontId="6" fillId="3" borderId="3" xfId="3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5" fontId="50" fillId="0" borderId="0" xfId="3" applyFont="1" applyFill="1" applyBorder="1" applyAlignment="1">
      <alignment vertical="center"/>
    </xf>
    <xf numFmtId="166" fontId="1" fillId="0" borderId="1" xfId="3" applyNumberFormat="1" applyFont="1" applyFill="1" applyBorder="1" applyAlignment="1">
      <alignment vertical="center"/>
    </xf>
    <xf numFmtId="166" fontId="6" fillId="0" borderId="0" xfId="3" applyNumberFormat="1" applyFont="1" applyFill="1" applyBorder="1" applyAlignment="1">
      <alignment vertical="center"/>
    </xf>
    <xf numFmtId="165" fontId="3" fillId="8" borderId="0" xfId="3" applyFont="1" applyFill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6" fillId="6" borderId="9" xfId="3" applyNumberFormat="1" applyFont="1" applyFill="1" applyBorder="1" applyAlignment="1">
      <alignment horizontal="center" vertical="center"/>
    </xf>
    <xf numFmtId="165" fontId="6" fillId="0" borderId="9" xfId="3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2" fontId="6" fillId="3" borderId="0" xfId="0" applyNumberFormat="1" applyFont="1" applyFill="1" applyAlignment="1">
      <alignment horizontal="center" vertical="center"/>
    </xf>
    <xf numFmtId="0" fontId="53" fillId="0" borderId="0" xfId="0" applyFont="1"/>
    <xf numFmtId="4" fontId="6" fillId="0" borderId="1" xfId="0" applyNumberFormat="1" applyFont="1" applyBorder="1" applyAlignment="1">
      <alignment vertical="center"/>
    </xf>
    <xf numFmtId="4" fontId="54" fillId="18" borderId="1" xfId="0" applyNumberFormat="1" applyFont="1" applyFill="1" applyBorder="1" applyAlignment="1">
      <alignment horizontal="center" vertical="center" wrapText="1"/>
    </xf>
    <xf numFmtId="17" fontId="36" fillId="0" borderId="0" xfId="0" applyNumberFormat="1" applyFont="1" applyAlignment="1">
      <alignment vertical="center"/>
    </xf>
    <xf numFmtId="8" fontId="33" fillId="0" borderId="0" xfId="0" applyNumberFormat="1" applyFont="1" applyAlignment="1">
      <alignment vertical="center"/>
    </xf>
    <xf numFmtId="165" fontId="6" fillId="4" borderId="0" xfId="3" applyFont="1" applyFill="1" applyAlignment="1">
      <alignment vertical="center"/>
    </xf>
    <xf numFmtId="167" fontId="3" fillId="2" borderId="4" xfId="3" applyNumberFormat="1" applyFont="1" applyFill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5" fontId="3" fillId="0" borderId="22" xfId="3" applyFont="1" applyBorder="1" applyAlignment="1">
      <alignment horizontal="center" vertical="center"/>
    </xf>
    <xf numFmtId="165" fontId="1" fillId="0" borderId="14" xfId="3" applyFont="1" applyBorder="1" applyAlignment="1">
      <alignment horizontal="left" vertical="center"/>
    </xf>
    <xf numFmtId="165" fontId="1" fillId="0" borderId="9" xfId="3" applyFont="1" applyBorder="1" applyAlignment="1">
      <alignment horizontal="left" vertical="center"/>
    </xf>
    <xf numFmtId="165" fontId="3" fillId="0" borderId="14" xfId="3" applyFont="1" applyBorder="1" applyAlignment="1">
      <alignment horizontal="left" vertical="center"/>
    </xf>
    <xf numFmtId="165" fontId="3" fillId="0" borderId="9" xfId="3" applyFont="1" applyBorder="1" applyAlignment="1">
      <alignment horizontal="left" vertical="center"/>
    </xf>
    <xf numFmtId="0" fontId="17" fillId="15" borderId="25" xfId="0" applyFont="1" applyFill="1" applyBorder="1" applyAlignment="1">
      <alignment horizontal="center" vertical="center"/>
    </xf>
    <xf numFmtId="0" fontId="17" fillId="15" borderId="26" xfId="0" applyFont="1" applyFill="1" applyBorder="1" applyAlignment="1">
      <alignment horizontal="center" vertical="center"/>
    </xf>
    <xf numFmtId="0" fontId="17" fillId="15" borderId="27" xfId="0" applyFont="1" applyFill="1" applyBorder="1" applyAlignment="1">
      <alignment horizontal="center" vertical="center"/>
    </xf>
    <xf numFmtId="0" fontId="7" fillId="15" borderId="44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/>
    </xf>
    <xf numFmtId="0" fontId="7" fillId="15" borderId="45" xfId="0" applyFont="1" applyFill="1" applyBorder="1" applyAlignment="1">
      <alignment horizontal="center" vertical="center"/>
    </xf>
    <xf numFmtId="165" fontId="3" fillId="0" borderId="5" xfId="3" applyFont="1" applyBorder="1" applyAlignment="1">
      <alignment horizontal="center" vertical="center"/>
    </xf>
    <xf numFmtId="165" fontId="3" fillId="0" borderId="6" xfId="3" applyFont="1" applyBorder="1" applyAlignment="1">
      <alignment horizontal="center" vertical="center"/>
    </xf>
    <xf numFmtId="165" fontId="3" fillId="0" borderId="43" xfId="3" applyFont="1" applyBorder="1" applyAlignment="1">
      <alignment horizontal="center" vertical="center"/>
    </xf>
    <xf numFmtId="165" fontId="4" fillId="8" borderId="5" xfId="3" applyFont="1" applyFill="1" applyBorder="1" applyAlignment="1">
      <alignment horizontal="center" vertical="center"/>
    </xf>
    <xf numFmtId="165" fontId="4" fillId="8" borderId="6" xfId="3" applyFont="1" applyFill="1" applyBorder="1" applyAlignment="1">
      <alignment horizontal="center" vertical="center"/>
    </xf>
    <xf numFmtId="165" fontId="4" fillId="8" borderId="7" xfId="3" applyFont="1" applyFill="1" applyBorder="1" applyAlignment="1">
      <alignment horizontal="center" vertical="center"/>
    </xf>
    <xf numFmtId="165" fontId="3" fillId="0" borderId="1" xfId="3" applyFont="1" applyBorder="1" applyAlignment="1">
      <alignment horizontal="center" vertical="center"/>
    </xf>
    <xf numFmtId="168" fontId="0" fillId="0" borderId="57" xfId="0" applyNumberFormat="1" applyBorder="1" applyAlignment="1">
      <alignment horizontal="right" vertical="center"/>
    </xf>
    <xf numFmtId="168" fontId="0" fillId="0" borderId="58" xfId="0" applyNumberFormat="1" applyBorder="1" applyAlignment="1">
      <alignment horizontal="right" vertical="center"/>
    </xf>
    <xf numFmtId="168" fontId="1" fillId="0" borderId="57" xfId="0" applyNumberFormat="1" applyFont="1" applyBorder="1" applyAlignment="1">
      <alignment horizontal="right" vertical="center"/>
    </xf>
    <xf numFmtId="164" fontId="3" fillId="0" borderId="34" xfId="0" applyNumberFormat="1" applyFont="1" applyBorder="1" applyAlignment="1">
      <alignment horizontal="right" vertical="center"/>
    </xf>
    <xf numFmtId="164" fontId="3" fillId="0" borderId="43" xfId="0" applyNumberFormat="1" applyFont="1" applyBorder="1" applyAlignment="1">
      <alignment horizontal="right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/>
    </xf>
    <xf numFmtId="0" fontId="17" fillId="10" borderId="46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9" fontId="7" fillId="0" borderId="21" xfId="2" applyFont="1" applyBorder="1" applyAlignment="1">
      <alignment horizontal="center"/>
    </xf>
    <xf numFmtId="9" fontId="7" fillId="0" borderId="22" xfId="2" applyFont="1" applyBorder="1" applyAlignment="1">
      <alignment horizontal="center"/>
    </xf>
    <xf numFmtId="9" fontId="7" fillId="0" borderId="12" xfId="2" applyFont="1" applyBorder="1" applyAlignment="1">
      <alignment horizontal="center"/>
    </xf>
    <xf numFmtId="0" fontId="4" fillId="10" borderId="25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/>
    </xf>
    <xf numFmtId="0" fontId="17" fillId="10" borderId="22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  <xf numFmtId="0" fontId="55" fillId="16" borderId="61" xfId="0" applyFont="1" applyFill="1" applyBorder="1" applyAlignment="1">
      <alignment horizontal="left"/>
    </xf>
    <xf numFmtId="0" fontId="57" fillId="16" borderId="63" xfId="0" applyFont="1" applyFill="1" applyBorder="1" applyAlignment="1">
      <alignment horizontal="left"/>
    </xf>
    <xf numFmtId="0" fontId="57" fillId="16" borderId="60" xfId="0" applyFont="1" applyFill="1" applyBorder="1" applyAlignment="1">
      <alignment horizontal="left"/>
    </xf>
    <xf numFmtId="0" fontId="57" fillId="16" borderId="42" xfId="0" applyFont="1" applyFill="1" applyBorder="1" applyAlignment="1">
      <alignment horizontal="left"/>
    </xf>
    <xf numFmtId="0" fontId="61" fillId="0" borderId="0" xfId="0" applyFont="1" applyAlignment="1">
      <alignment horizontal="justify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11</xdr:row>
      <xdr:rowOff>123825</xdr:rowOff>
    </xdr:from>
    <xdr:to>
      <xdr:col>14</xdr:col>
      <xdr:colOff>121919</xdr:colOff>
      <xdr:row>19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8001000" y="5953125"/>
          <a:ext cx="45719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23</xdr:row>
          <xdr:rowOff>19050</xdr:rowOff>
        </xdr:from>
        <xdr:to>
          <xdr:col>10</xdr:col>
          <xdr:colOff>352425</xdr:colOff>
          <xdr:row>81</xdr:row>
          <xdr:rowOff>123825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8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2"/>
  <sheetViews>
    <sheetView tabSelected="1" zoomScale="82" zoomScaleNormal="82" workbookViewId="0">
      <selection activeCell="G20" sqref="G20"/>
    </sheetView>
  </sheetViews>
  <sheetFormatPr defaultRowHeight="12.75" x14ac:dyDescent="0.2"/>
  <cols>
    <col min="1" max="1" width="53.140625" style="9" customWidth="1"/>
    <col min="2" max="2" width="15.140625" style="9" customWidth="1"/>
    <col min="3" max="3" width="13.42578125" style="9" customWidth="1"/>
    <col min="4" max="4" width="14.7109375" style="10" customWidth="1"/>
    <col min="5" max="5" width="18.140625" style="10" customWidth="1"/>
    <col min="6" max="6" width="19.85546875" style="10" customWidth="1"/>
    <col min="7" max="7" width="42.85546875" style="10" customWidth="1"/>
    <col min="8" max="8" width="19.85546875" style="9" customWidth="1"/>
    <col min="9" max="9" width="14.5703125" style="9" customWidth="1"/>
    <col min="10" max="10" width="13.42578125" style="9" customWidth="1"/>
    <col min="11" max="16384" width="9.140625" style="9"/>
  </cols>
  <sheetData>
    <row r="1" spans="1:7" ht="15.75" x14ac:dyDescent="0.2">
      <c r="A1" s="52" t="s">
        <v>196</v>
      </c>
    </row>
    <row r="2" spans="1:7" ht="15.75" x14ac:dyDescent="0.2">
      <c r="A2" s="269" t="s">
        <v>273</v>
      </c>
    </row>
    <row r="3" spans="1:7" ht="15.75" x14ac:dyDescent="0.2">
      <c r="A3" s="269" t="s">
        <v>274</v>
      </c>
    </row>
    <row r="4" spans="1:7" ht="15.75" x14ac:dyDescent="0.2">
      <c r="A4" s="269" t="s">
        <v>276</v>
      </c>
    </row>
    <row r="5" spans="1:7" s="4" customFormat="1" ht="15.6" customHeight="1" x14ac:dyDescent="0.2">
      <c r="A5" s="268" t="s">
        <v>270</v>
      </c>
      <c r="C5" s="5"/>
      <c r="D5" s="5"/>
      <c r="E5" s="5"/>
      <c r="F5" s="5"/>
      <c r="G5" s="6"/>
    </row>
    <row r="6" spans="1:7" s="4" customFormat="1" ht="15.6" customHeight="1" x14ac:dyDescent="0.2">
      <c r="A6" s="267" t="s">
        <v>275</v>
      </c>
      <c r="B6" s="5"/>
      <c r="C6" s="5"/>
      <c r="D6" s="5"/>
      <c r="E6" s="5"/>
      <c r="F6" s="5"/>
      <c r="G6" s="6"/>
    </row>
    <row r="7" spans="1:7" s="4" customFormat="1" ht="15.6" customHeight="1" x14ac:dyDescent="0.2">
      <c r="A7" s="7"/>
      <c r="B7" s="5"/>
      <c r="C7" s="5"/>
      <c r="D7" s="5"/>
      <c r="E7" s="5"/>
      <c r="F7" s="5"/>
      <c r="G7" s="6"/>
    </row>
    <row r="8" spans="1:7" s="4" customFormat="1" ht="15.6" customHeight="1" x14ac:dyDescent="0.2">
      <c r="A8" s="269" t="s">
        <v>281</v>
      </c>
      <c r="B8" s="5"/>
      <c r="C8" s="5"/>
      <c r="D8" s="5"/>
      <c r="E8" s="5"/>
      <c r="F8" s="5"/>
      <c r="G8" s="6"/>
    </row>
    <row r="9" spans="1:7" s="4" customFormat="1" ht="15.6" customHeight="1" x14ac:dyDescent="0.2">
      <c r="A9" s="269" t="s">
        <v>278</v>
      </c>
      <c r="B9" s="5"/>
      <c r="C9" s="5"/>
      <c r="D9" s="5"/>
      <c r="E9" s="5"/>
      <c r="F9" s="5"/>
      <c r="G9" s="6"/>
    </row>
    <row r="10" spans="1:7" s="4" customFormat="1" ht="16.5" customHeight="1" thickBot="1" x14ac:dyDescent="0.25">
      <c r="A10" s="7"/>
      <c r="B10" s="5"/>
      <c r="C10" s="5"/>
      <c r="D10" s="6"/>
      <c r="E10" s="6"/>
      <c r="F10" s="6"/>
      <c r="G10" s="6"/>
    </row>
    <row r="11" spans="1:7" s="8" customFormat="1" ht="18" x14ac:dyDescent="0.2">
      <c r="A11" s="526" t="s">
        <v>294</v>
      </c>
      <c r="B11" s="527"/>
      <c r="C11" s="527"/>
      <c r="D11" s="527"/>
      <c r="E11" s="527"/>
      <c r="F11" s="528"/>
      <c r="G11" s="34"/>
    </row>
    <row r="12" spans="1:7" s="8" customFormat="1" ht="21.75" customHeight="1" x14ac:dyDescent="0.2">
      <c r="A12" s="529" t="s">
        <v>43</v>
      </c>
      <c r="B12" s="530"/>
      <c r="C12" s="530"/>
      <c r="D12" s="530"/>
      <c r="E12" s="530"/>
      <c r="F12" s="531"/>
      <c r="G12" s="34"/>
    </row>
    <row r="13" spans="1:7" s="4" customFormat="1" ht="10.9" customHeight="1" thickBot="1" x14ac:dyDescent="0.25">
      <c r="A13" s="133"/>
      <c r="B13" s="5"/>
      <c r="C13" s="5"/>
      <c r="D13" s="134"/>
      <c r="E13" s="134"/>
      <c r="F13" s="135"/>
      <c r="G13" s="6"/>
    </row>
    <row r="14" spans="1:7" s="4" customFormat="1" ht="15.75" customHeight="1" thickBot="1" x14ac:dyDescent="0.25">
      <c r="A14" s="535" t="s">
        <v>195</v>
      </c>
      <c r="B14" s="536"/>
      <c r="C14" s="536"/>
      <c r="D14" s="536"/>
      <c r="E14" s="536"/>
      <c r="F14" s="537"/>
      <c r="G14" s="6"/>
    </row>
    <row r="15" spans="1:7" s="4" customFormat="1" ht="15.75" customHeight="1" x14ac:dyDescent="0.2">
      <c r="A15" s="60" t="s">
        <v>194</v>
      </c>
      <c r="B15" s="38"/>
      <c r="C15" s="38"/>
      <c r="D15" s="229"/>
      <c r="E15" s="105" t="s">
        <v>38</v>
      </c>
      <c r="F15" s="39" t="s">
        <v>2</v>
      </c>
      <c r="G15" s="6"/>
    </row>
    <row r="16" spans="1:7" s="11" customFormat="1" ht="15.75" customHeight="1" x14ac:dyDescent="0.2">
      <c r="A16" s="114" t="str">
        <f>A72</f>
        <v>1. Mão-de-obra</v>
      </c>
      <c r="B16" s="115"/>
      <c r="C16" s="116"/>
      <c r="D16" s="116"/>
      <c r="E16" s="226">
        <f>+F250</f>
        <v>286251.20259426325</v>
      </c>
      <c r="F16" s="117">
        <f t="shared" ref="F16:F49" si="0">IFERROR(E16/$E$50,0)</f>
        <v>0.46319561823233923</v>
      </c>
      <c r="G16" s="42"/>
    </row>
    <row r="17" spans="1:7" s="4" customFormat="1" ht="15.75" customHeight="1" x14ac:dyDescent="0.2">
      <c r="A17" s="47" t="str">
        <f>A74</f>
        <v>1.1. Coletor Turno Dia</v>
      </c>
      <c r="B17" s="43"/>
      <c r="C17" s="45"/>
      <c r="D17" s="45"/>
      <c r="E17" s="227">
        <f>F84</f>
        <v>83852.213665243311</v>
      </c>
      <c r="F17" s="54">
        <f t="shared" si="0"/>
        <v>0.13568494244502774</v>
      </c>
      <c r="G17" s="6"/>
    </row>
    <row r="18" spans="1:7" s="4" customFormat="1" ht="15.75" customHeight="1" x14ac:dyDescent="0.2">
      <c r="A18" s="47" t="str">
        <f>A87</f>
        <v>1.2. Coletor Turno Intermediário</v>
      </c>
      <c r="B18" s="43"/>
      <c r="C18" s="45"/>
      <c r="D18" s="45"/>
      <c r="E18" s="227">
        <f>F103</f>
        <v>86957.793509755196</v>
      </c>
      <c r="F18" s="54">
        <f t="shared" si="0"/>
        <v>0.14071021731902542</v>
      </c>
      <c r="G18" s="6"/>
    </row>
    <row r="19" spans="1:7" s="4" customFormat="1" ht="15.75" customHeight="1" x14ac:dyDescent="0.2">
      <c r="A19" s="47" t="str">
        <f>A106</f>
        <v>1.3. Motorista Turno do Dia</v>
      </c>
      <c r="B19" s="43"/>
      <c r="C19" s="45"/>
      <c r="D19" s="45"/>
      <c r="E19" s="227">
        <f>F121</f>
        <v>34372.125476570327</v>
      </c>
      <c r="F19" s="54">
        <f t="shared" si="0"/>
        <v>5.5619042874891327E-2</v>
      </c>
      <c r="G19" s="6"/>
    </row>
    <row r="20" spans="1:7" s="4" customFormat="1" ht="15.75" customHeight="1" x14ac:dyDescent="0.2">
      <c r="A20" s="47" t="str">
        <f>A124</f>
        <v>1.4. Motorista Turno Intermediária</v>
      </c>
      <c r="B20" s="43"/>
      <c r="C20" s="45"/>
      <c r="D20" s="45"/>
      <c r="E20" s="227">
        <f>F144</f>
        <v>32098.479196086766</v>
      </c>
      <c r="F20" s="54">
        <f t="shared" si="0"/>
        <v>5.1939956167182423E-2</v>
      </c>
      <c r="G20" s="6"/>
    </row>
    <row r="21" spans="1:7" s="4" customFormat="1" ht="15.75" customHeight="1" x14ac:dyDescent="0.2">
      <c r="A21" s="47" t="str">
        <f>A147</f>
        <v>1.5. Supervisor (lider  Equipes) da Coleta Turno do Dia</v>
      </c>
      <c r="B21" s="43"/>
      <c r="C21" s="45"/>
      <c r="D21" s="45"/>
      <c r="E21" s="227">
        <f>F157</f>
        <v>4909.0408703890862</v>
      </c>
      <c r="F21" s="54">
        <f t="shared" si="0"/>
        <v>7.943534211490029E-3</v>
      </c>
      <c r="G21" s="6"/>
    </row>
    <row r="22" spans="1:7" s="4" customFormat="1" ht="15.75" customHeight="1" x14ac:dyDescent="0.2">
      <c r="A22" s="47" t="str">
        <f>A160</f>
        <v>1.6. Supervisor (lider  Equipes) da Coleta Turno Interm.</v>
      </c>
      <c r="B22" s="43"/>
      <c r="C22" s="45"/>
      <c r="D22" s="45"/>
      <c r="E22" s="227">
        <f>F175</f>
        <v>5080.7892959713536</v>
      </c>
      <c r="F22" s="54">
        <f t="shared" si="0"/>
        <v>8.2214478672127927E-3</v>
      </c>
      <c r="G22" s="6"/>
    </row>
    <row r="23" spans="1:7" s="4" customFormat="1" ht="15.75" customHeight="1" x14ac:dyDescent="0.2">
      <c r="A23" s="47" t="str">
        <f>A178</f>
        <v>1.7. Auxiliar de Apoio Turno Dia</v>
      </c>
      <c r="B23" s="43"/>
      <c r="C23" s="45"/>
      <c r="D23" s="45"/>
      <c r="E23" s="227">
        <f>F189</f>
        <v>2628.0477001551999</v>
      </c>
      <c r="F23" s="54">
        <f t="shared" si="0"/>
        <v>4.2525591794382251E-3</v>
      </c>
      <c r="G23" s="6"/>
    </row>
    <row r="24" spans="1:7" s="11" customFormat="1" ht="15.75" customHeight="1" x14ac:dyDescent="0.2">
      <c r="A24" s="47" t="str">
        <f>A192</f>
        <v>1.8. Auxiliar de Apoio Turno Intermediária</v>
      </c>
      <c r="B24" s="43"/>
      <c r="C24" s="45"/>
      <c r="D24" s="45"/>
      <c r="E24" s="227">
        <f>F208</f>
        <v>2929.2247467586958</v>
      </c>
      <c r="F24" s="54">
        <f t="shared" si="0"/>
        <v>4.7399069601098444E-3</v>
      </c>
      <c r="G24" s="42"/>
    </row>
    <row r="25" spans="1:7" s="11" customFormat="1" ht="15.75" customHeight="1" x14ac:dyDescent="0.2">
      <c r="A25" s="47" t="str">
        <f>A211</f>
        <v>1.9. Vale Transporte</v>
      </c>
      <c r="B25" s="43"/>
      <c r="C25" s="45"/>
      <c r="D25" s="45"/>
      <c r="E25" s="227">
        <f>F219</f>
        <v>7468.6747999999998</v>
      </c>
      <c r="F25" s="54">
        <f t="shared" si="0"/>
        <v>1.2085390070014062E-2</v>
      </c>
      <c r="G25" s="42"/>
    </row>
    <row r="26" spans="1:7" s="4" customFormat="1" ht="15.75" customHeight="1" x14ac:dyDescent="0.2">
      <c r="A26" s="47" t="str">
        <f>A222</f>
        <v>1.10. Vale-refeição (diário)</v>
      </c>
      <c r="B26" s="43"/>
      <c r="C26" s="45"/>
      <c r="D26" s="45"/>
      <c r="E26" s="227">
        <f>F228</f>
        <v>23940.800000000003</v>
      </c>
      <c r="F26" s="54">
        <f t="shared" si="0"/>
        <v>3.8739657882572782E-2</v>
      </c>
      <c r="G26" s="6"/>
    </row>
    <row r="27" spans="1:7" s="4" customFormat="1" ht="15.75" customHeight="1" x14ac:dyDescent="0.2">
      <c r="A27" s="47" t="str">
        <f>A230</f>
        <v>1.11. Auxílio Alimentação (mensal)-Sinecarga</v>
      </c>
      <c r="B27" s="43"/>
      <c r="C27" s="45"/>
      <c r="D27" s="45"/>
      <c r="E27" s="227">
        <f>F234</f>
        <v>1165.68</v>
      </c>
      <c r="F27" s="54">
        <f t="shared" si="0"/>
        <v>1.8862379035185725E-3</v>
      </c>
      <c r="G27" s="6"/>
    </row>
    <row r="28" spans="1:7" s="4" customFormat="1" ht="15.75" customHeight="1" x14ac:dyDescent="0.2">
      <c r="A28" s="7" t="s">
        <v>562</v>
      </c>
      <c r="B28" s="7" t="s">
        <v>557</v>
      </c>
      <c r="C28" s="45"/>
      <c r="D28" s="45"/>
      <c r="E28" s="227">
        <f>F241</f>
        <v>108.33333333333333</v>
      </c>
      <c r="F28" s="54">
        <f>IFERROR(E28/$E$50,0)</f>
        <v>1.7529891526649281E-4</v>
      </c>
      <c r="G28" s="6"/>
    </row>
    <row r="29" spans="1:7" s="4" customFormat="1" ht="15.75" customHeight="1" x14ac:dyDescent="0.2">
      <c r="A29" s="7" t="s">
        <v>558</v>
      </c>
      <c r="B29" s="43"/>
      <c r="C29" s="45"/>
      <c r="D29" s="45"/>
      <c r="E29" s="227">
        <f>F247</f>
        <v>740</v>
      </c>
      <c r="F29" s="54">
        <f>IFERROR(E29/$E$50,0)</f>
        <v>1.1974264365895817E-3</v>
      </c>
      <c r="G29" s="6"/>
    </row>
    <row r="30" spans="1:7" s="4" customFormat="1" ht="15.75" customHeight="1" x14ac:dyDescent="0.2">
      <c r="A30" s="524" t="str">
        <f>A252</f>
        <v>2. Uniformes e Equipamentos de Proteção Individual</v>
      </c>
      <c r="B30" s="525"/>
      <c r="C30" s="525"/>
      <c r="D30" s="116"/>
      <c r="E30" s="226">
        <f>+F284</f>
        <v>9577.1633333333339</v>
      </c>
      <c r="F30" s="117">
        <f t="shared" si="0"/>
        <v>1.5497227787661803E-2</v>
      </c>
      <c r="G30" s="6"/>
    </row>
    <row r="31" spans="1:7" s="4" customFormat="1" ht="15.75" customHeight="1" x14ac:dyDescent="0.2">
      <c r="A31" s="122" t="str">
        <f>A286</f>
        <v>3. Veículos e Equipamentos</v>
      </c>
      <c r="B31" s="123"/>
      <c r="C31" s="116"/>
      <c r="D31" s="116"/>
      <c r="E31" s="226">
        <f>+F431</f>
        <v>162590.14433293336</v>
      </c>
      <c r="F31" s="117">
        <f t="shared" si="0"/>
        <v>0.26309423939617588</v>
      </c>
      <c r="G31" s="6"/>
    </row>
    <row r="32" spans="1:7" s="4" customFormat="1" ht="15.75" customHeight="1" x14ac:dyDescent="0.2">
      <c r="A32" s="61" t="str">
        <f>A288</f>
        <v>3.1. Veículo Coletor Compactador -Ano 2023</v>
      </c>
      <c r="B32" s="44"/>
      <c r="C32" s="45"/>
      <c r="D32" s="45"/>
      <c r="E32" s="227">
        <f>SUM(E33:E38)</f>
        <v>159902.43783293333</v>
      </c>
      <c r="F32" s="128">
        <f t="shared" si="0"/>
        <v>0.25874514369767088</v>
      </c>
      <c r="G32" s="6"/>
    </row>
    <row r="33" spans="1:9" s="4" customFormat="1" ht="15.75" customHeight="1" x14ac:dyDescent="0.2">
      <c r="A33" s="61" t="str">
        <f>A290</f>
        <v>3.1.1. Depreciação</v>
      </c>
      <c r="B33" s="44"/>
      <c r="C33" s="45"/>
      <c r="D33" s="45"/>
      <c r="E33" s="227">
        <f>F303</f>
        <v>30560.398099999999</v>
      </c>
      <c r="F33" s="128">
        <f t="shared" si="0"/>
        <v>4.9451119726543272E-2</v>
      </c>
      <c r="G33" s="6"/>
    </row>
    <row r="34" spans="1:9" s="4" customFormat="1" ht="15.75" customHeight="1" x14ac:dyDescent="0.2">
      <c r="A34" s="61" t="str">
        <f>A306</f>
        <v>3.1.2. Remuneração do Capital</v>
      </c>
      <c r="B34" s="44"/>
      <c r="C34" s="45"/>
      <c r="D34" s="45"/>
      <c r="E34" s="227">
        <f>F319</f>
        <v>26314.180569999997</v>
      </c>
      <c r="F34" s="128">
        <f t="shared" si="0"/>
        <v>4.258012901582419E-2</v>
      </c>
      <c r="G34" s="6"/>
      <c r="I34" s="450"/>
    </row>
    <row r="35" spans="1:9" s="11" customFormat="1" ht="15.75" customHeight="1" x14ac:dyDescent="0.2">
      <c r="A35" s="61" t="str">
        <f>A322</f>
        <v>3.1.3. Impostos e Seguros</v>
      </c>
      <c r="B35" s="44"/>
      <c r="C35" s="45"/>
      <c r="D35" s="45"/>
      <c r="E35" s="227">
        <f>F328</f>
        <v>4438.0583333333334</v>
      </c>
      <c r="F35" s="128">
        <f t="shared" si="0"/>
        <v>7.1814167235946368E-3</v>
      </c>
      <c r="G35" s="42"/>
    </row>
    <row r="36" spans="1:9" s="11" customFormat="1" ht="15.75" customHeight="1" x14ac:dyDescent="0.2">
      <c r="A36" s="61" t="str">
        <f>A332</f>
        <v>3.1.4. Consumos</v>
      </c>
      <c r="B36" s="44"/>
      <c r="C36" s="45"/>
      <c r="D36" s="45"/>
      <c r="E36" s="227">
        <f>F347</f>
        <v>71001.379029599993</v>
      </c>
      <c r="F36" s="128">
        <f t="shared" si="0"/>
        <v>0.11489044362751374</v>
      </c>
      <c r="G36" s="42"/>
    </row>
    <row r="37" spans="1:9" s="11" customFormat="1" ht="15.75" customHeight="1" x14ac:dyDescent="0.2">
      <c r="A37" s="61" t="str">
        <f>A350</f>
        <v>3.1.5. Manutenção</v>
      </c>
      <c r="B37" s="44"/>
      <c r="C37" s="45"/>
      <c r="D37" s="45"/>
      <c r="E37" s="227">
        <f>F352</f>
        <v>21511.440000000002</v>
      </c>
      <c r="F37" s="128">
        <f t="shared" si="0"/>
        <v>3.4808603979879178E-2</v>
      </c>
      <c r="G37" s="42"/>
    </row>
    <row r="38" spans="1:9" s="4" customFormat="1" ht="15.75" customHeight="1" x14ac:dyDescent="0.2">
      <c r="A38" s="61" t="str">
        <f>A355</f>
        <v>3.1.6. Pneus</v>
      </c>
      <c r="B38" s="44"/>
      <c r="C38" s="45"/>
      <c r="D38" s="45"/>
      <c r="E38" s="227">
        <f>F361</f>
        <v>6076.9818000000005</v>
      </c>
      <c r="F38" s="128">
        <f t="shared" si="0"/>
        <v>9.833430624315867E-3</v>
      </c>
      <c r="G38" s="6"/>
    </row>
    <row r="39" spans="1:9" x14ac:dyDescent="0.2">
      <c r="A39" s="61" t="str">
        <f>A363</f>
        <v>3.2. Veículo de Apoio Pickup Ano 2022</v>
      </c>
      <c r="B39" s="44"/>
      <c r="C39" s="45"/>
      <c r="D39" s="45"/>
      <c r="E39" s="227">
        <f>SUM(E40:E45)</f>
        <v>2687.7065000000002</v>
      </c>
      <c r="F39" s="128">
        <f t="shared" si="0"/>
        <v>4.3490956985049413E-3</v>
      </c>
    </row>
    <row r="40" spans="1:9" x14ac:dyDescent="0.2">
      <c r="A40" s="61" t="str">
        <f>A365</f>
        <v>3.2.1 Depreciação</v>
      </c>
      <c r="B40" s="44"/>
      <c r="C40" s="45"/>
      <c r="D40" s="45"/>
      <c r="E40" s="227">
        <f>F372</f>
        <v>309.31666666666666</v>
      </c>
      <c r="F40" s="128">
        <f t="shared" si="0"/>
        <v>5.005188566816677E-4</v>
      </c>
      <c r="H40" s="451"/>
    </row>
    <row r="41" spans="1:9" s="4" customFormat="1" ht="15" customHeight="1" x14ac:dyDescent="0.2">
      <c r="A41" s="61" t="str">
        <f>A375</f>
        <v>3.2.2.Remuneração de Capital</v>
      </c>
      <c r="B41" s="44"/>
      <c r="C41" s="45"/>
      <c r="D41" s="45"/>
      <c r="E41" s="227">
        <f>F382</f>
        <v>463.97500000000002</v>
      </c>
      <c r="F41" s="128">
        <f t="shared" si="0"/>
        <v>7.507782850225016E-4</v>
      </c>
      <c r="G41" s="6"/>
    </row>
    <row r="42" spans="1:9" s="4" customFormat="1" ht="15" customHeight="1" x14ac:dyDescent="0.2">
      <c r="A42" s="61" t="str">
        <f>A385</f>
        <v>3.2.3. Impostos e Seguros</v>
      </c>
      <c r="B42" s="44"/>
      <c r="C42" s="45"/>
      <c r="D42" s="45"/>
      <c r="E42" s="227">
        <f>F391</f>
        <v>376.76500000000004</v>
      </c>
      <c r="F42" s="128">
        <f t="shared" si="0"/>
        <v>6.0965996132658618E-4</v>
      </c>
      <c r="G42" s="6"/>
    </row>
    <row r="43" spans="1:9" s="4" customFormat="1" ht="15" customHeight="1" x14ac:dyDescent="0.2">
      <c r="A43" s="61" t="str">
        <f>A394</f>
        <v>3.2.4. Consumos</v>
      </c>
      <c r="B43" s="44"/>
      <c r="C43" s="45"/>
      <c r="D43" s="45"/>
      <c r="E43" s="227">
        <f>F404</f>
        <v>1200.9218333333333</v>
      </c>
      <c r="F43" s="128">
        <f t="shared" si="0"/>
        <v>1.9432642587985957E-3</v>
      </c>
      <c r="G43" s="6"/>
    </row>
    <row r="44" spans="1:9" s="4" customFormat="1" ht="15" customHeight="1" x14ac:dyDescent="0.2">
      <c r="A44" s="61" t="str">
        <f>A407</f>
        <v xml:space="preserve"> 3.2.5. Manutenção do Veículo de Apoio (Pickup)</v>
      </c>
      <c r="B44" s="44"/>
      <c r="C44" s="45"/>
      <c r="D44" s="45"/>
      <c r="E44" s="227">
        <f>F410</f>
        <v>260</v>
      </c>
      <c r="F44" s="128">
        <f t="shared" si="0"/>
        <v>4.2071739663958275E-4</v>
      </c>
      <c r="G44" s="6"/>
    </row>
    <row r="45" spans="1:9" s="4" customFormat="1" ht="15" customHeight="1" x14ac:dyDescent="0.2">
      <c r="A45" s="61" t="str">
        <f>A413</f>
        <v>3.2.6. Pneus</v>
      </c>
      <c r="B45" s="44"/>
      <c r="C45" s="45"/>
      <c r="D45" s="45"/>
      <c r="E45" s="227">
        <f>F419</f>
        <v>76.728000000000009</v>
      </c>
      <c r="F45" s="128">
        <f t="shared" si="0"/>
        <v>1.2415694003600734E-4</v>
      </c>
      <c r="G45" s="6"/>
    </row>
    <row r="46" spans="1:9" s="4" customFormat="1" x14ac:dyDescent="0.2">
      <c r="A46" s="122" t="str">
        <f>A435</f>
        <v>4. Ferramentas e Materiais de Consumo</v>
      </c>
      <c r="B46" s="123"/>
      <c r="C46" s="116"/>
      <c r="D46" s="116"/>
      <c r="E46" s="226">
        <f>+F451</f>
        <v>8315.161038033335</v>
      </c>
      <c r="F46" s="117">
        <f t="shared" si="0"/>
        <v>1.3455126556001057E-2</v>
      </c>
      <c r="G46" s="6"/>
    </row>
    <row r="47" spans="1:9" s="11" customFormat="1" ht="15.75" customHeight="1" x14ac:dyDescent="0.2">
      <c r="A47" s="122" t="str">
        <f>A454</f>
        <v>5. Monitoramento da Frota</v>
      </c>
      <c r="B47" s="123"/>
      <c r="C47" s="116"/>
      <c r="D47" s="116"/>
      <c r="E47" s="226">
        <f>+F463</f>
        <v>680.19</v>
      </c>
      <c r="F47" s="117">
        <f t="shared" si="0"/>
        <v>1.1006452539241453E-3</v>
      </c>
      <c r="G47" s="42"/>
    </row>
    <row r="48" spans="1:9" s="4" customFormat="1" ht="15.75" customHeight="1" x14ac:dyDescent="0.2">
      <c r="A48" s="122" t="str">
        <f>A466</f>
        <v>6. Instalações / Canteiro</v>
      </c>
      <c r="B48" s="123"/>
      <c r="C48" s="116"/>
      <c r="D48" s="116"/>
      <c r="E48" s="385">
        <f>F470</f>
        <v>20000</v>
      </c>
      <c r="F48" s="117">
        <f t="shared" si="0"/>
        <v>3.236287666458329E-2</v>
      </c>
      <c r="G48" s="6"/>
    </row>
    <row r="49" spans="1:7" ht="15" customHeight="1" thickBot="1" x14ac:dyDescent="0.25">
      <c r="A49" s="122" t="str">
        <f>A475</f>
        <v>7. Benefícios e Despesas Indiretas - BDI</v>
      </c>
      <c r="B49" s="123"/>
      <c r="C49" s="116"/>
      <c r="D49" s="116"/>
      <c r="E49" s="228">
        <f>+F478</f>
        <v>130578.17344188511</v>
      </c>
      <c r="F49" s="117">
        <f t="shared" si="0"/>
        <v>0.21129426610931465</v>
      </c>
    </row>
    <row r="50" spans="1:7" ht="19.5" customHeight="1" thickBot="1" x14ac:dyDescent="0.25">
      <c r="A50" s="40" t="s">
        <v>229</v>
      </c>
      <c r="B50" s="41"/>
      <c r="C50" s="26"/>
      <c r="D50" s="26"/>
      <c r="E50" s="104">
        <f>E16+E30+E31+E46+E47++E48+E49</f>
        <v>617992.03474044835</v>
      </c>
      <c r="F50" s="127">
        <f>F16+F30+F31+F46+F47++F48+F49</f>
        <v>1</v>
      </c>
    </row>
    <row r="51" spans="1:7" ht="13.9" customHeight="1" x14ac:dyDescent="0.2"/>
    <row r="52" spans="1:7" ht="13.9" customHeight="1" thickBot="1" x14ac:dyDescent="0.25"/>
    <row r="53" spans="1:7" ht="13.15" customHeight="1" thickBot="1" x14ac:dyDescent="0.25">
      <c r="A53" s="535" t="s">
        <v>93</v>
      </c>
      <c r="B53" s="536"/>
      <c r="C53" s="536"/>
      <c r="D53" s="536"/>
      <c r="E53" s="537"/>
    </row>
    <row r="54" spans="1:7" ht="13.5" thickBot="1" x14ac:dyDescent="0.25">
      <c r="A54" s="532" t="s">
        <v>39</v>
      </c>
      <c r="B54" s="533"/>
      <c r="C54" s="533"/>
      <c r="D54" s="534"/>
      <c r="E54" s="46" t="s">
        <v>40</v>
      </c>
    </row>
    <row r="55" spans="1:7" ht="13.15" customHeight="1" x14ac:dyDescent="0.2">
      <c r="A55" s="69" t="str">
        <f>+A74</f>
        <v>1.1. Coletor Turno Dia</v>
      </c>
      <c r="B55" s="70"/>
      <c r="C55" s="70"/>
      <c r="D55" s="71"/>
      <c r="E55" s="72">
        <f>C84</f>
        <v>18</v>
      </c>
    </row>
    <row r="56" spans="1:7" ht="13.15" customHeight="1" x14ac:dyDescent="0.2">
      <c r="A56" s="63" t="str">
        <f>+A87</f>
        <v>1.2. Coletor Turno Intermediário</v>
      </c>
      <c r="B56" s="62"/>
      <c r="C56" s="62"/>
      <c r="D56" s="73"/>
      <c r="E56" s="66">
        <f>C103</f>
        <v>18</v>
      </c>
    </row>
    <row r="57" spans="1:7" x14ac:dyDescent="0.2">
      <c r="A57" s="63" t="str">
        <f>+A106</f>
        <v>1.3. Motorista Turno do Dia</v>
      </c>
      <c r="B57" s="62"/>
      <c r="C57" s="62"/>
      <c r="D57" s="73"/>
      <c r="E57" s="66">
        <f>C121</f>
        <v>6</v>
      </c>
    </row>
    <row r="58" spans="1:7" x14ac:dyDescent="0.2">
      <c r="A58" s="63" t="str">
        <f>+A124</f>
        <v>1.4. Motorista Turno Intermediária</v>
      </c>
      <c r="B58" s="62"/>
      <c r="C58" s="62"/>
      <c r="D58" s="73"/>
      <c r="E58" s="66">
        <f>C144</f>
        <v>6</v>
      </c>
    </row>
    <row r="59" spans="1:7" x14ac:dyDescent="0.2">
      <c r="A59" s="63" t="str">
        <f>+A147</f>
        <v>1.5. Supervisor (lider  Equipes) da Coleta Turno do Dia</v>
      </c>
      <c r="B59" s="62"/>
      <c r="C59" s="62"/>
      <c r="D59" s="73"/>
      <c r="E59" s="66">
        <v>1</v>
      </c>
      <c r="F59" s="9"/>
    </row>
    <row r="60" spans="1:7" x14ac:dyDescent="0.2">
      <c r="A60" s="63" t="str">
        <f>+A160</f>
        <v>1.6. Supervisor (lider  Equipes) da Coleta Turno Interm.</v>
      </c>
      <c r="B60" s="62"/>
      <c r="C60" s="62"/>
      <c r="D60" s="73"/>
      <c r="E60" s="66">
        <v>1</v>
      </c>
      <c r="F60" s="9"/>
    </row>
    <row r="61" spans="1:7" x14ac:dyDescent="0.2">
      <c r="A61" s="7" t="s">
        <v>333</v>
      </c>
      <c r="B61" s="55"/>
      <c r="C61" s="55"/>
      <c r="D61" s="4"/>
      <c r="E61" s="335">
        <v>1</v>
      </c>
      <c r="F61" s="9"/>
      <c r="G61" s="6"/>
    </row>
    <row r="62" spans="1:7" ht="13.9" customHeight="1" x14ac:dyDescent="0.2">
      <c r="A62" s="7" t="s">
        <v>390</v>
      </c>
      <c r="B62" s="55"/>
      <c r="C62" s="55"/>
      <c r="D62" s="4"/>
      <c r="E62" s="335">
        <v>1</v>
      </c>
      <c r="F62" s="9"/>
      <c r="G62" s="6"/>
    </row>
    <row r="63" spans="1:7" ht="11.25" customHeight="1" thickBot="1" x14ac:dyDescent="0.25">
      <c r="A63" s="67" t="s">
        <v>58</v>
      </c>
      <c r="B63" s="68"/>
      <c r="C63" s="68"/>
      <c r="D63" s="74"/>
      <c r="E63" s="75">
        <f>SUM(E55:E62)</f>
        <v>52</v>
      </c>
      <c r="F63" s="9"/>
    </row>
    <row r="64" spans="1:7" x14ac:dyDescent="0.2">
      <c r="A64" s="33"/>
      <c r="B64" s="336"/>
      <c r="C64" s="336"/>
      <c r="D64" s="4"/>
      <c r="E64" s="337"/>
      <c r="F64" s="9"/>
    </row>
    <row r="65" spans="1:6" ht="13.5" thickBot="1" x14ac:dyDescent="0.25">
      <c r="A65" s="4"/>
      <c r="B65" s="4"/>
      <c r="C65" s="4"/>
      <c r="D65" s="4"/>
      <c r="E65" s="4"/>
      <c r="F65" s="11"/>
    </row>
    <row r="66" spans="1:6" x14ac:dyDescent="0.2">
      <c r="A66" s="519" t="s">
        <v>56</v>
      </c>
      <c r="B66" s="520"/>
      <c r="C66" s="520"/>
      <c r="D66" s="520"/>
      <c r="E66" s="46" t="s">
        <v>40</v>
      </c>
      <c r="F66" s="9"/>
    </row>
    <row r="67" spans="1:6" ht="13.5" thickBot="1" x14ac:dyDescent="0.25">
      <c r="A67" s="118" t="str">
        <f>+A288</f>
        <v>3.1. Veículo Coletor Compactador -Ano 2023</v>
      </c>
      <c r="B67" s="119"/>
      <c r="C67" s="119"/>
      <c r="D67" s="120"/>
      <c r="E67" s="121">
        <f>C303</f>
        <v>7</v>
      </c>
    </row>
    <row r="68" spans="1:6" ht="13.5" thickBot="1" x14ac:dyDescent="0.25">
      <c r="A68" s="24" t="s">
        <v>566</v>
      </c>
      <c r="B68" s="29"/>
      <c r="C68" s="29"/>
      <c r="D68" s="432"/>
      <c r="E68" s="448">
        <f>C372</f>
        <v>1</v>
      </c>
    </row>
    <row r="69" spans="1:6" ht="13.5" thickBot="1" x14ac:dyDescent="0.25">
      <c r="A69" s="55"/>
      <c r="B69" s="55"/>
      <c r="C69" s="55"/>
      <c r="D69" s="9"/>
      <c r="E69" s="64"/>
    </row>
    <row r="70" spans="1:6" ht="13.5" thickBot="1" x14ac:dyDescent="0.25">
      <c r="A70" s="230" t="s">
        <v>189</v>
      </c>
      <c r="B70" s="231">
        <v>1</v>
      </c>
      <c r="C70" s="33"/>
      <c r="D70" s="11"/>
      <c r="E70" s="136"/>
    </row>
    <row r="71" spans="1:6" x14ac:dyDescent="0.2">
      <c r="A71" s="55"/>
      <c r="B71" s="55"/>
      <c r="C71" s="55"/>
      <c r="D71" s="9"/>
      <c r="E71" s="64"/>
    </row>
    <row r="72" spans="1:6" x14ac:dyDescent="0.2">
      <c r="A72" s="11" t="s">
        <v>47</v>
      </c>
    </row>
    <row r="74" spans="1:6" ht="13.5" thickBot="1" x14ac:dyDescent="0.25">
      <c r="A74" s="9" t="s">
        <v>96</v>
      </c>
    </row>
    <row r="75" spans="1:6" ht="13.15" customHeight="1" thickBot="1" x14ac:dyDescent="0.25">
      <c r="A75" s="56" t="s">
        <v>62</v>
      </c>
      <c r="B75" s="57" t="s">
        <v>63</v>
      </c>
      <c r="C75" s="57" t="s">
        <v>40</v>
      </c>
      <c r="D75" s="58" t="s">
        <v>225</v>
      </c>
      <c r="E75" s="58" t="s">
        <v>64</v>
      </c>
      <c r="F75" s="59" t="s">
        <v>65</v>
      </c>
    </row>
    <row r="76" spans="1:6" x14ac:dyDescent="0.2">
      <c r="A76" s="13" t="s">
        <v>205</v>
      </c>
      <c r="B76" s="14" t="s">
        <v>8</v>
      </c>
      <c r="C76" s="14">
        <v>1</v>
      </c>
      <c r="D76" s="81">
        <v>1816.57</v>
      </c>
      <c r="E76" s="15">
        <f>C76*D76</f>
        <v>1816.57</v>
      </c>
    </row>
    <row r="77" spans="1:6" x14ac:dyDescent="0.2">
      <c r="A77" s="16" t="s">
        <v>34</v>
      </c>
      <c r="B77" s="17" t="s">
        <v>0</v>
      </c>
      <c r="C77" s="82">
        <v>6.71</v>
      </c>
      <c r="D77" s="18">
        <f>D76/220*2</f>
        <v>16.514272727272726</v>
      </c>
      <c r="E77" s="18">
        <f>C77*D77</f>
        <v>110.81076999999999</v>
      </c>
    </row>
    <row r="78" spans="1:6" x14ac:dyDescent="0.2">
      <c r="A78" s="16" t="s">
        <v>35</v>
      </c>
      <c r="B78" s="17" t="s">
        <v>0</v>
      </c>
      <c r="C78" s="82"/>
      <c r="D78" s="18">
        <f>D76/220*1.5</f>
        <v>12.385704545454544</v>
      </c>
      <c r="E78" s="18">
        <f>C78*D78</f>
        <v>0</v>
      </c>
    </row>
    <row r="79" spans="1:6" x14ac:dyDescent="0.2">
      <c r="A79" s="16" t="s">
        <v>208</v>
      </c>
      <c r="B79" s="17" t="s">
        <v>33</v>
      </c>
      <c r="D79" s="18">
        <f>63/302*(SUM(E77:E78))</f>
        <v>23.116154006622516</v>
      </c>
      <c r="E79" s="18">
        <f>D79</f>
        <v>23.116154006622516</v>
      </c>
    </row>
    <row r="80" spans="1:6" x14ac:dyDescent="0.2">
      <c r="A80" s="16" t="s">
        <v>1</v>
      </c>
      <c r="B80" s="17" t="s">
        <v>2</v>
      </c>
      <c r="C80" s="17">
        <v>40</v>
      </c>
      <c r="D80" s="77">
        <f>SUM(E76:E79)</f>
        <v>1950.4969240066225</v>
      </c>
      <c r="E80" s="18">
        <f>C80*D80/100</f>
        <v>780.19876960264901</v>
      </c>
    </row>
    <row r="81" spans="1:7" x14ac:dyDescent="0.2">
      <c r="A81" s="106" t="s">
        <v>3</v>
      </c>
      <c r="B81" s="107"/>
      <c r="C81" s="107"/>
      <c r="D81" s="108"/>
      <c r="E81" s="109">
        <f>SUM(E76:E80)</f>
        <v>2730.6956936092715</v>
      </c>
    </row>
    <row r="82" spans="1:7" ht="11.25" customHeight="1" x14ac:dyDescent="0.2">
      <c r="A82" s="16" t="s">
        <v>4</v>
      </c>
      <c r="B82" s="17" t="s">
        <v>2</v>
      </c>
      <c r="C82" s="125">
        <f>'2.Encargos Sociais'!$C$37*100</f>
        <v>70.595951999999997</v>
      </c>
      <c r="D82" s="18">
        <f>E81</f>
        <v>2730.6956936092715</v>
      </c>
      <c r="E82" s="18">
        <f>D82*C82/100</f>
        <v>1927.7606211264681</v>
      </c>
    </row>
    <row r="83" spans="1:7" ht="13.5" thickBot="1" x14ac:dyDescent="0.25">
      <c r="A83" s="106" t="s">
        <v>70</v>
      </c>
      <c r="B83" s="107"/>
      <c r="C83" s="107"/>
      <c r="D83" s="108"/>
      <c r="E83" s="109">
        <f>E81+E82</f>
        <v>4658.4563147357394</v>
      </c>
    </row>
    <row r="84" spans="1:7" s="12" customFormat="1" ht="13.15" customHeight="1" thickBot="1" x14ac:dyDescent="0.25">
      <c r="A84" s="16" t="s">
        <v>5</v>
      </c>
      <c r="B84" s="17" t="s">
        <v>6</v>
      </c>
      <c r="C84" s="80">
        <v>18</v>
      </c>
      <c r="D84" s="18">
        <f>E83</f>
        <v>4658.4563147357394</v>
      </c>
      <c r="E84" s="18">
        <f>C84*D84</f>
        <v>83852.213665243311</v>
      </c>
      <c r="F84" s="113">
        <f>E84*E85</f>
        <v>83852.213665243311</v>
      </c>
      <c r="G84" s="10"/>
    </row>
    <row r="85" spans="1:7" ht="13.5" thickBot="1" x14ac:dyDescent="0.25">
      <c r="D85" s="112" t="s">
        <v>188</v>
      </c>
      <c r="E85" s="48">
        <f>B70</f>
        <v>1</v>
      </c>
      <c r="F85" s="449"/>
    </row>
    <row r="87" spans="1:7" ht="13.5" thickBot="1" x14ac:dyDescent="0.25">
      <c r="A87" s="7" t="s">
        <v>389</v>
      </c>
    </row>
    <row r="88" spans="1:7" ht="13.5" thickBot="1" x14ac:dyDescent="0.25">
      <c r="A88" s="56" t="s">
        <v>62</v>
      </c>
      <c r="B88" s="57" t="s">
        <v>63</v>
      </c>
      <c r="C88" s="57" t="s">
        <v>40</v>
      </c>
      <c r="D88" s="58" t="s">
        <v>225</v>
      </c>
      <c r="E88" s="58" t="s">
        <v>64</v>
      </c>
      <c r="F88" s="59" t="s">
        <v>65</v>
      </c>
    </row>
    <row r="89" spans="1:7" ht="13.15" customHeight="1" x14ac:dyDescent="0.2">
      <c r="A89" s="13" t="s">
        <v>205</v>
      </c>
      <c r="B89" s="14" t="s">
        <v>8</v>
      </c>
      <c r="C89" s="14">
        <v>1</v>
      </c>
      <c r="D89" s="15">
        <f>D76</f>
        <v>1816.57</v>
      </c>
      <c r="E89" s="15">
        <f>C89*D89</f>
        <v>1816.57</v>
      </c>
    </row>
    <row r="90" spans="1:7" x14ac:dyDescent="0.2">
      <c r="A90" s="16" t="s">
        <v>7</v>
      </c>
      <c r="B90" s="291" t="s">
        <v>384</v>
      </c>
      <c r="C90" s="82">
        <v>26</v>
      </c>
      <c r="D90" s="18"/>
      <c r="E90" s="18"/>
    </row>
    <row r="91" spans="1:7" x14ac:dyDescent="0.2">
      <c r="A91" s="16"/>
      <c r="B91" s="291" t="s">
        <v>385</v>
      </c>
      <c r="C91" s="110">
        <f>C90*8/7</f>
        <v>29.714285714285715</v>
      </c>
      <c r="D91" s="18">
        <f>D89/220*0.2</f>
        <v>1.6514272727272727</v>
      </c>
      <c r="E91" s="18">
        <f>C91*D91</f>
        <v>49.070981818181821</v>
      </c>
    </row>
    <row r="92" spans="1:7" s="11" customFormat="1" x14ac:dyDescent="0.2">
      <c r="A92" s="16" t="s">
        <v>34</v>
      </c>
      <c r="B92" s="17" t="s">
        <v>0</v>
      </c>
      <c r="C92" s="82">
        <v>6.71</v>
      </c>
      <c r="D92" s="18">
        <f>D89/220*2</f>
        <v>16.514272727272726</v>
      </c>
      <c r="E92" s="18">
        <f>C92*D92</f>
        <v>110.81076999999999</v>
      </c>
      <c r="F92" s="10"/>
      <c r="G92" s="42"/>
    </row>
    <row r="93" spans="1:7" x14ac:dyDescent="0.2">
      <c r="A93" s="16" t="s">
        <v>95</v>
      </c>
      <c r="B93" s="291" t="s">
        <v>384</v>
      </c>
      <c r="C93" s="82">
        <v>0.92</v>
      </c>
      <c r="D93" s="18"/>
      <c r="E93" s="18"/>
    </row>
    <row r="94" spans="1:7" s="11" customFormat="1" x14ac:dyDescent="0.2">
      <c r="A94" s="16"/>
      <c r="B94" s="291" t="s">
        <v>385</v>
      </c>
      <c r="C94" s="110">
        <f>C93*8/7</f>
        <v>1.0514285714285714</v>
      </c>
      <c r="D94" s="18">
        <f>D89/220*2*1.2*C93</f>
        <v>18.231757090909088</v>
      </c>
      <c r="E94" s="18">
        <f>C94*D94</f>
        <v>19.16939031272727</v>
      </c>
      <c r="F94" s="10"/>
      <c r="G94" s="42"/>
    </row>
    <row r="95" spans="1:7" x14ac:dyDescent="0.2">
      <c r="A95" s="16" t="s">
        <v>35</v>
      </c>
      <c r="B95" s="17" t="s">
        <v>0</v>
      </c>
      <c r="C95" s="82"/>
      <c r="D95" s="18">
        <f>D89/220*1.5</f>
        <v>12.385704545454544</v>
      </c>
      <c r="E95" s="18">
        <f>C95*D95</f>
        <v>0</v>
      </c>
    </row>
    <row r="96" spans="1:7" x14ac:dyDescent="0.2">
      <c r="A96" s="16" t="s">
        <v>207</v>
      </c>
      <c r="B96" s="291" t="s">
        <v>384</v>
      </c>
      <c r="C96" s="82"/>
      <c r="D96" s="18"/>
      <c r="E96" s="18"/>
    </row>
    <row r="97" spans="1:6" ht="11.25" customHeight="1" x14ac:dyDescent="0.2">
      <c r="A97" s="16"/>
      <c r="B97" s="291" t="s">
        <v>385</v>
      </c>
      <c r="C97" s="18">
        <f>C96*8/7</f>
        <v>0</v>
      </c>
      <c r="D97" s="18">
        <f>D89/220*1.5*1.2</f>
        <v>14.862845454545452</v>
      </c>
      <c r="E97" s="18">
        <f>C97*D97</f>
        <v>0</v>
      </c>
    </row>
    <row r="98" spans="1:6" x14ac:dyDescent="0.2">
      <c r="A98" s="290" t="s">
        <v>386</v>
      </c>
      <c r="B98" s="17" t="s">
        <v>33</v>
      </c>
      <c r="D98" s="18">
        <f>63/302*(SUM(E92:E97))</f>
        <v>27.115066555304033</v>
      </c>
      <c r="E98" s="18">
        <f>D98</f>
        <v>27.115066555304033</v>
      </c>
    </row>
    <row r="99" spans="1:6" x14ac:dyDescent="0.2">
      <c r="A99" s="16" t="s">
        <v>1</v>
      </c>
      <c r="B99" s="17" t="s">
        <v>2</v>
      </c>
      <c r="C99" s="17">
        <f>+C80</f>
        <v>40</v>
      </c>
      <c r="D99" s="77">
        <f>SUM(E89:E98)</f>
        <v>2022.7362086862131</v>
      </c>
      <c r="E99" s="18">
        <f>C99*D99/100</f>
        <v>809.09448347448517</v>
      </c>
    </row>
    <row r="100" spans="1:6" x14ac:dyDescent="0.2">
      <c r="A100" s="106" t="s">
        <v>3</v>
      </c>
      <c r="B100" s="107"/>
      <c r="C100" s="107"/>
      <c r="D100" s="108"/>
      <c r="E100" s="109">
        <f>SUM(E89:E99)</f>
        <v>2831.8306921606982</v>
      </c>
    </row>
    <row r="101" spans="1:6" x14ac:dyDescent="0.2">
      <c r="A101" s="16" t="s">
        <v>4</v>
      </c>
      <c r="B101" s="17" t="s">
        <v>2</v>
      </c>
      <c r="C101" s="125">
        <f>'2.Encargos Sociais'!$C$37*100</f>
        <v>70.595951999999997</v>
      </c>
      <c r="D101" s="18">
        <f>E100</f>
        <v>2831.8306921606982</v>
      </c>
      <c r="E101" s="18">
        <f>D101*C101/100</f>
        <v>1999.1578361590341</v>
      </c>
    </row>
    <row r="102" spans="1:6" ht="13.5" thickBot="1" x14ac:dyDescent="0.25">
      <c r="A102" s="106" t="s">
        <v>70</v>
      </c>
      <c r="B102" s="107"/>
      <c r="C102" s="107"/>
      <c r="D102" s="108"/>
      <c r="E102" s="109">
        <f>E100+E101</f>
        <v>4830.9885283197327</v>
      </c>
    </row>
    <row r="103" spans="1:6" ht="13.5" thickBot="1" x14ac:dyDescent="0.25">
      <c r="A103" s="16" t="s">
        <v>5</v>
      </c>
      <c r="B103" s="17" t="s">
        <v>6</v>
      </c>
      <c r="C103" s="80">
        <v>18</v>
      </c>
      <c r="D103" s="18">
        <f>E102</f>
        <v>4830.9885283197327</v>
      </c>
      <c r="E103" s="18">
        <f>C103*D103</f>
        <v>86957.793509755196</v>
      </c>
      <c r="F103" s="113">
        <f>E103*E104</f>
        <v>86957.793509755196</v>
      </c>
    </row>
    <row r="104" spans="1:6" x14ac:dyDescent="0.2">
      <c r="D104" s="112" t="s">
        <v>188</v>
      </c>
      <c r="E104" s="48">
        <f>$B$70</f>
        <v>1</v>
      </c>
    </row>
    <row r="106" spans="1:6" ht="13.5" thickBot="1" x14ac:dyDescent="0.25">
      <c r="A106" s="7" t="s">
        <v>97</v>
      </c>
    </row>
    <row r="107" spans="1:6" ht="13.5" thickBot="1" x14ac:dyDescent="0.25">
      <c r="A107" s="56" t="s">
        <v>62</v>
      </c>
      <c r="B107" s="57" t="s">
        <v>63</v>
      </c>
      <c r="C107" s="57" t="s">
        <v>40</v>
      </c>
      <c r="D107" s="58" t="s">
        <v>225</v>
      </c>
      <c r="E107" s="58" t="s">
        <v>64</v>
      </c>
      <c r="F107" s="59" t="s">
        <v>65</v>
      </c>
    </row>
    <row r="108" spans="1:6" x14ac:dyDescent="0.2">
      <c r="A108" s="271" t="s">
        <v>279</v>
      </c>
      <c r="B108" s="14" t="s">
        <v>8</v>
      </c>
      <c r="C108" s="14">
        <v>1</v>
      </c>
      <c r="D108" s="81">
        <v>2251.4899999999998</v>
      </c>
      <c r="E108" s="15">
        <f>C108*D108</f>
        <v>2251.4899999999998</v>
      </c>
    </row>
    <row r="109" spans="1:6" x14ac:dyDescent="0.2">
      <c r="A109" s="271" t="s">
        <v>280</v>
      </c>
      <c r="B109" s="14" t="s">
        <v>8</v>
      </c>
      <c r="C109" s="14">
        <v>1</v>
      </c>
      <c r="D109" s="81">
        <v>1412</v>
      </c>
      <c r="E109" s="15"/>
    </row>
    <row r="110" spans="1:6" ht="13.15" customHeight="1" x14ac:dyDescent="0.2">
      <c r="A110" s="16" t="s">
        <v>34</v>
      </c>
      <c r="B110" s="17" t="s">
        <v>0</v>
      </c>
      <c r="C110" s="82">
        <v>6.71</v>
      </c>
      <c r="D110" s="18">
        <f>D108/220*2</f>
        <v>20.468090909090908</v>
      </c>
      <c r="E110" s="18">
        <f>C110*D110</f>
        <v>137.34089</v>
      </c>
      <c r="F110" s="42"/>
    </row>
    <row r="111" spans="1:6" x14ac:dyDescent="0.2">
      <c r="A111" s="16" t="s">
        <v>35</v>
      </c>
      <c r="B111" s="17" t="s">
        <v>0</v>
      </c>
      <c r="C111" s="82"/>
      <c r="D111" s="18">
        <f>D108/220*1.5</f>
        <v>15.351068181818182</v>
      </c>
      <c r="E111" s="18">
        <f>C111*D111</f>
        <v>0</v>
      </c>
    </row>
    <row r="112" spans="1:6" x14ac:dyDescent="0.2">
      <c r="A112" s="16" t="s">
        <v>208</v>
      </c>
      <c r="B112" s="17" t="s">
        <v>33</v>
      </c>
      <c r="D112" s="18">
        <f>63/302*(SUM(E110:E111))</f>
        <v>28.650583013245036</v>
      </c>
      <c r="E112" s="18">
        <f>D112</f>
        <v>28.650583013245036</v>
      </c>
      <c r="F112" s="42"/>
    </row>
    <row r="113" spans="1:18" s="11" customFormat="1" x14ac:dyDescent="0.2">
      <c r="A113" s="16" t="s">
        <v>206</v>
      </c>
      <c r="B113" s="17"/>
      <c r="C113" s="84">
        <v>1</v>
      </c>
      <c r="D113" s="18"/>
      <c r="E113" s="18"/>
      <c r="F113" s="10"/>
      <c r="G113" s="42"/>
    </row>
    <row r="114" spans="1:18" s="11" customFormat="1" x14ac:dyDescent="0.2">
      <c r="A114" s="16"/>
      <c r="B114" s="17"/>
      <c r="C114" s="84"/>
      <c r="D114" s="18"/>
      <c r="E114" s="18"/>
      <c r="F114" s="10"/>
      <c r="G114" s="42"/>
    </row>
    <row r="115" spans="1:18" x14ac:dyDescent="0.2">
      <c r="A115" s="16" t="s">
        <v>1</v>
      </c>
      <c r="B115" s="17" t="s">
        <v>2</v>
      </c>
      <c r="C115" s="80">
        <v>40</v>
      </c>
      <c r="D115" s="77">
        <f>IF(C113=2,SUM(E108:E112),IF(C113=1,(SUM(E108:E112))*D109/D108,0))</f>
        <v>1516.0999337748344</v>
      </c>
      <c r="E115" s="18">
        <f>C115*D115/100</f>
        <v>606.43997350993379</v>
      </c>
    </row>
    <row r="116" spans="1:18" s="11" customFormat="1" x14ac:dyDescent="0.2">
      <c r="A116" s="92" t="s">
        <v>3</v>
      </c>
      <c r="B116" s="107"/>
      <c r="C116" s="107"/>
      <c r="D116" s="108"/>
      <c r="E116" s="94">
        <f>SUM(E108:E115)</f>
        <v>3023.9214465231785</v>
      </c>
      <c r="F116" s="10"/>
      <c r="G116" s="42"/>
    </row>
    <row r="117" spans="1:18" x14ac:dyDescent="0.2">
      <c r="A117" s="16" t="s">
        <v>4</v>
      </c>
      <c r="B117" s="17" t="s">
        <v>2</v>
      </c>
      <c r="C117" s="390">
        <f>'2.Encargos Sociais'!$C$37*100</f>
        <v>70.595951999999997</v>
      </c>
      <c r="D117" s="18">
        <f>E116</f>
        <v>3023.9214465231785</v>
      </c>
      <c r="E117" s="18">
        <f>D117*C117/100</f>
        <v>2134.7661329052089</v>
      </c>
    </row>
    <row r="118" spans="1:18" x14ac:dyDescent="0.2">
      <c r="A118" s="16"/>
      <c r="B118" s="506"/>
      <c r="C118" s="507"/>
      <c r="D118" s="508"/>
      <c r="E118" s="18"/>
    </row>
    <row r="119" spans="1:18" x14ac:dyDescent="0.2">
      <c r="A119" s="290" t="s">
        <v>556</v>
      </c>
      <c r="B119" s="509" t="s">
        <v>33</v>
      </c>
      <c r="C119" s="507">
        <v>1</v>
      </c>
      <c r="D119" s="508">
        <v>95</v>
      </c>
      <c r="E119" s="18">
        <f>D119*6</f>
        <v>570</v>
      </c>
    </row>
    <row r="120" spans="1:18" ht="13.5" thickBot="1" x14ac:dyDescent="0.25">
      <c r="A120" s="92" t="s">
        <v>240</v>
      </c>
      <c r="B120" s="237"/>
      <c r="C120" s="237"/>
      <c r="D120" s="238"/>
      <c r="E120" s="94">
        <f>E116+E117+E119</f>
        <v>5728.6875794283878</v>
      </c>
    </row>
    <row r="121" spans="1:18" ht="11.25" customHeight="1" thickBot="1" x14ac:dyDescent="0.25">
      <c r="A121" s="16" t="s">
        <v>5</v>
      </c>
      <c r="B121" s="17" t="s">
        <v>6</v>
      </c>
      <c r="C121" s="80">
        <v>6</v>
      </c>
      <c r="D121" s="18">
        <f>E120</f>
        <v>5728.6875794283878</v>
      </c>
      <c r="E121" s="18">
        <f>C121*D121</f>
        <v>34372.125476570327</v>
      </c>
      <c r="F121" s="113">
        <f>E121*E122</f>
        <v>34372.125476570327</v>
      </c>
      <c r="G121" s="9"/>
    </row>
    <row r="122" spans="1:18" x14ac:dyDescent="0.2">
      <c r="D122" s="112" t="s">
        <v>188</v>
      </c>
      <c r="E122" s="48">
        <f>$B$70</f>
        <v>1</v>
      </c>
      <c r="G122" s="9"/>
      <c r="P122" s="112"/>
      <c r="Q122" s="55"/>
      <c r="R122" s="326"/>
    </row>
    <row r="123" spans="1:18" x14ac:dyDescent="0.2">
      <c r="G123" s="9"/>
      <c r="P123" s="112"/>
      <c r="Q123" s="55"/>
      <c r="R123" s="326"/>
    </row>
    <row r="124" spans="1:18" ht="13.5" thickBot="1" x14ac:dyDescent="0.25">
      <c r="A124" s="7" t="s">
        <v>293</v>
      </c>
      <c r="G124" s="9"/>
      <c r="P124" s="112"/>
      <c r="Q124" s="55"/>
      <c r="R124" s="326"/>
    </row>
    <row r="125" spans="1:18" ht="13.5" thickBot="1" x14ac:dyDescent="0.25">
      <c r="A125" s="56" t="s">
        <v>62</v>
      </c>
      <c r="B125" s="57" t="s">
        <v>63</v>
      </c>
      <c r="C125" s="57" t="s">
        <v>40</v>
      </c>
      <c r="D125" s="58" t="s">
        <v>225</v>
      </c>
      <c r="E125" s="58" t="s">
        <v>64</v>
      </c>
      <c r="F125" s="59" t="s">
        <v>65</v>
      </c>
      <c r="G125" s="9"/>
      <c r="P125" s="112"/>
      <c r="Q125" s="55"/>
      <c r="R125" s="326"/>
    </row>
    <row r="126" spans="1:18" x14ac:dyDescent="0.2">
      <c r="A126" s="271" t="s">
        <v>279</v>
      </c>
      <c r="B126" s="14" t="s">
        <v>8</v>
      </c>
      <c r="C126" s="14">
        <v>1</v>
      </c>
      <c r="D126" s="15">
        <f>D108</f>
        <v>2251.4899999999998</v>
      </c>
      <c r="E126" s="15">
        <f>C126*D126</f>
        <v>2251.4899999999998</v>
      </c>
      <c r="G126" s="9"/>
      <c r="P126" s="112"/>
      <c r="Q126" s="55"/>
      <c r="R126" s="326"/>
    </row>
    <row r="127" spans="1:18" x14ac:dyDescent="0.2">
      <c r="A127" s="271" t="s">
        <v>280</v>
      </c>
      <c r="B127" s="14" t="s">
        <v>8</v>
      </c>
      <c r="C127" s="14">
        <v>1</v>
      </c>
      <c r="D127" s="18">
        <f>D109</f>
        <v>1412</v>
      </c>
      <c r="E127" s="18"/>
      <c r="G127" s="9"/>
      <c r="P127" s="112"/>
      <c r="Q127" s="55"/>
      <c r="R127" s="326"/>
    </row>
    <row r="128" spans="1:18" x14ac:dyDescent="0.2">
      <c r="A128" s="16" t="s">
        <v>7</v>
      </c>
      <c r="B128" s="17" t="s">
        <v>94</v>
      </c>
      <c r="C128" s="82">
        <v>26</v>
      </c>
      <c r="D128" s="16"/>
      <c r="E128" s="16"/>
      <c r="G128" s="9"/>
      <c r="P128" s="112"/>
      <c r="Q128" s="55"/>
      <c r="R128" s="326"/>
    </row>
    <row r="129" spans="1:18" ht="11.25" customHeight="1" x14ac:dyDescent="0.2">
      <c r="A129" s="16"/>
      <c r="B129" s="291" t="s">
        <v>385</v>
      </c>
      <c r="C129" s="18">
        <f>C128*8/7</f>
        <v>29.714285714285715</v>
      </c>
      <c r="D129" s="18">
        <f>D126/220*0.2</f>
        <v>2.046809090909091</v>
      </c>
      <c r="E129" s="18">
        <f>C129*D129</f>
        <v>60.819470129870133</v>
      </c>
      <c r="G129" s="9"/>
      <c r="P129" s="112"/>
      <c r="Q129" s="55"/>
      <c r="R129" s="326"/>
    </row>
    <row r="130" spans="1:18" x14ac:dyDescent="0.2">
      <c r="A130" s="16" t="s">
        <v>34</v>
      </c>
      <c r="B130" s="17" t="s">
        <v>0</v>
      </c>
      <c r="C130" s="82">
        <v>6.71</v>
      </c>
      <c r="D130" s="18">
        <f>D126/220*2</f>
        <v>20.468090909090908</v>
      </c>
      <c r="E130" s="18">
        <f>C130*D130</f>
        <v>137.34089</v>
      </c>
      <c r="G130" s="9"/>
    </row>
    <row r="131" spans="1:18" x14ac:dyDescent="0.2">
      <c r="A131" s="16" t="s">
        <v>95</v>
      </c>
      <c r="B131" s="291" t="s">
        <v>384</v>
      </c>
      <c r="C131" s="82">
        <v>0.92</v>
      </c>
      <c r="D131" s="18"/>
      <c r="E131" s="18"/>
      <c r="G131" s="9"/>
    </row>
    <row r="132" spans="1:18" x14ac:dyDescent="0.2">
      <c r="A132" s="16"/>
      <c r="B132" s="291" t="s">
        <v>385</v>
      </c>
      <c r="C132" s="18">
        <f>C131*8/7</f>
        <v>1.0514285714285714</v>
      </c>
      <c r="D132" s="18">
        <f>D126/220*2*1.2*C131</f>
        <v>22.596772363636362</v>
      </c>
      <c r="E132" s="18">
        <f>C132*D132</f>
        <v>23.758892085194802</v>
      </c>
      <c r="G132" s="9"/>
    </row>
    <row r="133" spans="1:18" x14ac:dyDescent="0.2">
      <c r="A133" s="16" t="s">
        <v>35</v>
      </c>
      <c r="B133" s="17" t="s">
        <v>0</v>
      </c>
      <c r="C133" s="82"/>
      <c r="D133" s="18">
        <f>D126/220*1.5</f>
        <v>15.351068181818182</v>
      </c>
      <c r="E133" s="18">
        <f>C133*D133</f>
        <v>0</v>
      </c>
      <c r="G133" s="9"/>
    </row>
    <row r="134" spans="1:18" x14ac:dyDescent="0.2">
      <c r="A134" s="16" t="s">
        <v>207</v>
      </c>
      <c r="B134" s="291" t="s">
        <v>384</v>
      </c>
      <c r="C134" s="82"/>
      <c r="D134" s="18"/>
      <c r="E134" s="18"/>
      <c r="F134" s="42"/>
      <c r="G134" s="9"/>
    </row>
    <row r="135" spans="1:18" x14ac:dyDescent="0.2">
      <c r="A135" s="16"/>
      <c r="B135" s="17"/>
      <c r="C135" s="18">
        <f>C134*8/7</f>
        <v>0</v>
      </c>
      <c r="D135" s="18">
        <f>D126/220*1.5*1.2</f>
        <v>18.421281818181818</v>
      </c>
      <c r="E135" s="18">
        <f>C135*D135</f>
        <v>0</v>
      </c>
      <c r="G135" s="9"/>
    </row>
    <row r="136" spans="1:18" x14ac:dyDescent="0.2">
      <c r="A136" s="16" t="s">
        <v>208</v>
      </c>
      <c r="B136" s="17" t="s">
        <v>33</v>
      </c>
      <c r="D136" s="18">
        <f>63/302*(SUM(E130:E135))</f>
        <v>33.606908183335342</v>
      </c>
      <c r="E136" s="18">
        <f>D136</f>
        <v>33.606908183335342</v>
      </c>
      <c r="F136" s="42"/>
      <c r="G136" s="9"/>
    </row>
    <row r="137" spans="1:18" x14ac:dyDescent="0.2">
      <c r="A137" s="16" t="s">
        <v>206</v>
      </c>
      <c r="B137" s="17"/>
      <c r="C137" s="84">
        <v>1</v>
      </c>
      <c r="D137" s="18"/>
      <c r="E137" s="18"/>
      <c r="G137" s="9"/>
    </row>
    <row r="138" spans="1:18" x14ac:dyDescent="0.2">
      <c r="A138" s="16" t="s">
        <v>1</v>
      </c>
      <c r="B138" s="17" t="s">
        <v>2</v>
      </c>
      <c r="C138" s="77">
        <f>+C115</f>
        <v>40</v>
      </c>
      <c r="D138" s="77">
        <f>IF(C137=2,SUM(E126:E136),IF(C137=1,SUM(E126:E136)*D127/D126,0))</f>
        <v>1572.2507399466758</v>
      </c>
      <c r="E138" s="18">
        <f>C138*D138/100</f>
        <v>628.90029597867033</v>
      </c>
      <c r="G138" s="9"/>
    </row>
    <row r="139" spans="1:18" x14ac:dyDescent="0.2">
      <c r="A139" s="106" t="s">
        <v>3</v>
      </c>
      <c r="B139" s="93"/>
      <c r="C139" s="93"/>
      <c r="D139" s="94"/>
      <c r="E139" s="109">
        <f>SUM(E126:E138)</f>
        <v>3135.9164563770705</v>
      </c>
      <c r="F139" s="32"/>
      <c r="G139" s="9"/>
    </row>
    <row r="140" spans="1:18" x14ac:dyDescent="0.2">
      <c r="A140" s="16" t="s">
        <v>4</v>
      </c>
      <c r="B140" s="17" t="s">
        <v>2</v>
      </c>
      <c r="C140" s="125">
        <f>'2.Encargos Sociais'!$C$37*100</f>
        <v>70.595951999999997</v>
      </c>
      <c r="D140" s="18">
        <f>E139</f>
        <v>3135.9164563770705</v>
      </c>
      <c r="E140" s="18">
        <f>D140*C140/100</f>
        <v>2213.8300763040575</v>
      </c>
      <c r="G140" s="9"/>
    </row>
    <row r="141" spans="1:18" x14ac:dyDescent="0.2">
      <c r="A141" s="510"/>
      <c r="B141" s="17"/>
      <c r="C141" s="125"/>
      <c r="D141" s="18"/>
      <c r="E141" s="361"/>
      <c r="G141" s="9"/>
    </row>
    <row r="142" spans="1:18" x14ac:dyDescent="0.2">
      <c r="A142" s="294" t="s">
        <v>556</v>
      </c>
      <c r="B142" s="291" t="s">
        <v>33</v>
      </c>
      <c r="C142" s="125">
        <v>1</v>
      </c>
      <c r="D142" s="18">
        <v>0</v>
      </c>
      <c r="E142" s="361">
        <f>D142*6</f>
        <v>0</v>
      </c>
      <c r="G142" s="9"/>
    </row>
    <row r="143" spans="1:18" ht="13.5" thickBot="1" x14ac:dyDescent="0.25">
      <c r="A143" s="106" t="s">
        <v>240</v>
      </c>
      <c r="B143" s="107"/>
      <c r="C143" s="107"/>
      <c r="D143" s="108"/>
      <c r="E143" s="109">
        <f>E139+E140+E142</f>
        <v>5349.746532681128</v>
      </c>
    </row>
    <row r="144" spans="1:18" ht="13.5" thickBot="1" x14ac:dyDescent="0.25">
      <c r="A144" s="16" t="s">
        <v>5</v>
      </c>
      <c r="B144" s="17" t="s">
        <v>6</v>
      </c>
      <c r="C144" s="80">
        <v>6</v>
      </c>
      <c r="D144" s="18">
        <f>E143</f>
        <v>5349.746532681128</v>
      </c>
      <c r="E144" s="18">
        <f>C144*D144</f>
        <v>32098.479196086766</v>
      </c>
      <c r="F144" s="113">
        <f>E144*E145</f>
        <v>32098.479196086766</v>
      </c>
      <c r="G144" s="9"/>
    </row>
    <row r="145" spans="1:7" ht="11.25" customHeight="1" x14ac:dyDescent="0.2">
      <c r="D145" s="112" t="s">
        <v>188</v>
      </c>
      <c r="E145" s="48">
        <f>$B$70</f>
        <v>1</v>
      </c>
      <c r="G145" s="9"/>
    </row>
    <row r="146" spans="1:7" ht="13.9" customHeight="1" x14ac:dyDescent="0.2">
      <c r="D146" s="112"/>
      <c r="E146" s="55"/>
      <c r="G146" s="9"/>
    </row>
    <row r="147" spans="1:7" ht="11.25" customHeight="1" thickBot="1" x14ac:dyDescent="0.25">
      <c r="A147" s="7" t="s">
        <v>326</v>
      </c>
      <c r="G147" s="9"/>
    </row>
    <row r="148" spans="1:7" ht="14.25" customHeight="1" thickBot="1" x14ac:dyDescent="0.25">
      <c r="A148" s="56" t="s">
        <v>62</v>
      </c>
      <c r="B148" s="57" t="s">
        <v>63</v>
      </c>
      <c r="C148" s="57" t="s">
        <v>40</v>
      </c>
      <c r="D148" s="58" t="s">
        <v>225</v>
      </c>
      <c r="E148" s="58" t="s">
        <v>64</v>
      </c>
      <c r="F148" s="59" t="s">
        <v>65</v>
      </c>
      <c r="G148" s="9"/>
    </row>
    <row r="149" spans="1:7" x14ac:dyDescent="0.2">
      <c r="A149" s="271" t="s">
        <v>279</v>
      </c>
      <c r="B149" s="14" t="s">
        <v>8</v>
      </c>
      <c r="C149" s="14">
        <v>1</v>
      </c>
      <c r="D149" s="81">
        <v>2680</v>
      </c>
      <c r="E149" s="15">
        <f>C149*D149</f>
        <v>2680</v>
      </c>
      <c r="G149" s="9"/>
    </row>
    <row r="150" spans="1:7" ht="13.15" customHeight="1" x14ac:dyDescent="0.2">
      <c r="A150" s="271"/>
      <c r="B150" s="14"/>
      <c r="C150" s="14"/>
      <c r="D150" s="81"/>
      <c r="E150" s="15"/>
      <c r="G150" s="9"/>
    </row>
    <row r="151" spans="1:7" ht="13.9" customHeight="1" x14ac:dyDescent="0.2">
      <c r="A151" s="16" t="s">
        <v>34</v>
      </c>
      <c r="B151" s="17" t="s">
        <v>0</v>
      </c>
      <c r="C151" s="82">
        <v>6.71</v>
      </c>
      <c r="D151" s="18">
        <f>D149/220*2</f>
        <v>24.363636363636363</v>
      </c>
      <c r="E151" s="18">
        <f>C151*D151</f>
        <v>163.47999999999999</v>
      </c>
      <c r="F151" s="42"/>
      <c r="G151" s="9"/>
    </row>
    <row r="152" spans="1:7" ht="13.15" customHeight="1" x14ac:dyDescent="0.2">
      <c r="A152" s="16" t="s">
        <v>35</v>
      </c>
      <c r="B152" s="17" t="s">
        <v>0</v>
      </c>
      <c r="C152" s="82"/>
      <c r="D152" s="18">
        <f>D149/220*1.5</f>
        <v>18.272727272727273</v>
      </c>
      <c r="E152" s="18">
        <f>C152*D152</f>
        <v>0</v>
      </c>
    </row>
    <row r="153" spans="1:7" x14ac:dyDescent="0.2">
      <c r="A153" s="16" t="s">
        <v>208</v>
      </c>
      <c r="B153" s="17" t="s">
        <v>33</v>
      </c>
      <c r="C153" s="16"/>
      <c r="D153" s="18">
        <f>63/302*(SUM(E151:E152))</f>
        <v>34.103443708609269</v>
      </c>
      <c r="E153" s="18">
        <f>D153</f>
        <v>34.103443708609269</v>
      </c>
    </row>
    <row r="154" spans="1:7" s="1" customFormat="1" x14ac:dyDescent="0.2">
      <c r="A154" s="330" t="s">
        <v>3</v>
      </c>
      <c r="B154" s="107"/>
      <c r="C154" s="107"/>
      <c r="D154" s="108"/>
      <c r="E154" s="331">
        <f>SUM(E149:E153)</f>
        <v>2877.5834437086091</v>
      </c>
      <c r="F154" s="32"/>
      <c r="G154" s="36"/>
    </row>
    <row r="155" spans="1:7" x14ac:dyDescent="0.2">
      <c r="A155" s="16" t="s">
        <v>4</v>
      </c>
      <c r="B155" s="17" t="s">
        <v>2</v>
      </c>
      <c r="C155" s="125">
        <f>'2.Encargos Sociais'!$C$37*100</f>
        <v>70.595951999999997</v>
      </c>
      <c r="D155" s="18">
        <f>E154</f>
        <v>2877.5834437086091</v>
      </c>
      <c r="E155" s="18">
        <f>D155*C155/100</f>
        <v>2031.4574266804766</v>
      </c>
    </row>
    <row r="156" spans="1:7" ht="13.15" customHeight="1" thickBot="1" x14ac:dyDescent="0.25">
      <c r="A156" s="92" t="s">
        <v>304</v>
      </c>
      <c r="B156" s="237"/>
      <c r="C156" s="237"/>
      <c r="D156" s="238"/>
      <c r="E156" s="94">
        <f>E154+E155</f>
        <v>4909.0408703890862</v>
      </c>
    </row>
    <row r="157" spans="1:7" ht="13.5" thickBot="1" x14ac:dyDescent="0.25">
      <c r="A157" s="16" t="s">
        <v>5</v>
      </c>
      <c r="B157" s="17" t="s">
        <v>6</v>
      </c>
      <c r="C157" s="80">
        <v>1</v>
      </c>
      <c r="D157" s="18">
        <f>E156</f>
        <v>4909.0408703890862</v>
      </c>
      <c r="E157" s="18">
        <f>C157*D157</f>
        <v>4909.0408703890862</v>
      </c>
      <c r="F157" s="113">
        <f>E157*E158</f>
        <v>4909.0408703890862</v>
      </c>
    </row>
    <row r="158" spans="1:7" x14ac:dyDescent="0.2">
      <c r="D158" s="112" t="s">
        <v>188</v>
      </c>
      <c r="E158" s="48">
        <f>$B$70</f>
        <v>1</v>
      </c>
    </row>
    <row r="159" spans="1:7" x14ac:dyDescent="0.2">
      <c r="D159" s="112"/>
      <c r="E159" s="55"/>
    </row>
    <row r="160" spans="1:7" ht="11.25" customHeight="1" thickBot="1" x14ac:dyDescent="0.25">
      <c r="A160" s="7" t="s">
        <v>340</v>
      </c>
    </row>
    <row r="161" spans="1:7" ht="13.9" customHeight="1" thickBot="1" x14ac:dyDescent="0.25">
      <c r="A161" s="98" t="s">
        <v>62</v>
      </c>
      <c r="B161" s="99" t="s">
        <v>63</v>
      </c>
      <c r="C161" s="99" t="s">
        <v>40</v>
      </c>
      <c r="D161" s="100" t="s">
        <v>225</v>
      </c>
      <c r="E161" s="100" t="s">
        <v>64</v>
      </c>
      <c r="F161" s="59" t="s">
        <v>65</v>
      </c>
    </row>
    <row r="162" spans="1:7" ht="11.25" customHeight="1" x14ac:dyDescent="0.2">
      <c r="A162" s="290" t="s">
        <v>279</v>
      </c>
      <c r="B162" s="17" t="s">
        <v>8</v>
      </c>
      <c r="C162" s="17">
        <v>1</v>
      </c>
      <c r="D162" s="83">
        <f>D149</f>
        <v>2680</v>
      </c>
      <c r="E162" s="18">
        <f>C162*D162</f>
        <v>2680</v>
      </c>
    </row>
    <row r="163" spans="1:7" x14ac:dyDescent="0.2">
      <c r="A163" s="290" t="s">
        <v>280</v>
      </c>
      <c r="B163" s="17" t="s">
        <v>8</v>
      </c>
      <c r="C163" s="17">
        <v>1</v>
      </c>
      <c r="D163" s="83">
        <f>D109</f>
        <v>1412</v>
      </c>
      <c r="E163" s="18"/>
    </row>
    <row r="164" spans="1:7" x14ac:dyDescent="0.2">
      <c r="A164" s="16" t="s">
        <v>7</v>
      </c>
      <c r="B164" s="291" t="s">
        <v>384</v>
      </c>
      <c r="C164" s="82">
        <v>26</v>
      </c>
      <c r="D164" s="16"/>
      <c r="E164" s="16"/>
    </row>
    <row r="165" spans="1:7" x14ac:dyDescent="0.2">
      <c r="A165" s="16"/>
      <c r="B165" s="291" t="s">
        <v>385</v>
      </c>
      <c r="C165" s="48">
        <f>C164*8/7</f>
        <v>29.714285714285715</v>
      </c>
      <c r="D165" s="18">
        <f>D162/220*0.2</f>
        <v>2.4363636363636365</v>
      </c>
      <c r="E165" s="18">
        <f>C165*D165</f>
        <v>72.394805194805201</v>
      </c>
    </row>
    <row r="166" spans="1:7" x14ac:dyDescent="0.2">
      <c r="A166" s="16" t="s">
        <v>34</v>
      </c>
      <c r="B166" s="17" t="s">
        <v>0</v>
      </c>
      <c r="C166" s="82">
        <v>6.71</v>
      </c>
      <c r="D166" s="18">
        <f>D162/220*2</f>
        <v>24.363636363636363</v>
      </c>
      <c r="E166" s="18">
        <f>C166*D166</f>
        <v>163.47999999999999</v>
      </c>
      <c r="F166" s="42"/>
    </row>
    <row r="167" spans="1:7" x14ac:dyDescent="0.2">
      <c r="A167" s="16" t="s">
        <v>35</v>
      </c>
      <c r="B167" s="17" t="s">
        <v>0</v>
      </c>
      <c r="C167" s="82"/>
      <c r="D167" s="18">
        <f>D162/220*1.5</f>
        <v>18.272727272727273</v>
      </c>
      <c r="E167" s="18">
        <f>C167*D167</f>
        <v>0</v>
      </c>
      <c r="F167" s="42"/>
    </row>
    <row r="168" spans="1:7" x14ac:dyDescent="0.2">
      <c r="A168" s="290" t="s">
        <v>95</v>
      </c>
      <c r="B168" s="291" t="s">
        <v>384</v>
      </c>
      <c r="C168" s="82">
        <v>0.92</v>
      </c>
      <c r="D168" s="18"/>
      <c r="E168" s="18"/>
      <c r="G168" s="9"/>
    </row>
    <row r="169" spans="1:7" x14ac:dyDescent="0.2">
      <c r="A169" s="290"/>
      <c r="B169" s="291" t="s">
        <v>555</v>
      </c>
      <c r="C169" s="505">
        <f>C168*8/7</f>
        <v>1.0514285714285714</v>
      </c>
      <c r="D169" s="18">
        <f>D162/220*2*1.2*C168</f>
        <v>26.897454545454544</v>
      </c>
      <c r="E169" s="18">
        <f>C169*D169</f>
        <v>28.280752207792204</v>
      </c>
      <c r="G169" s="9"/>
    </row>
    <row r="170" spans="1:7" x14ac:dyDescent="0.2">
      <c r="A170" s="290"/>
      <c r="B170" s="291"/>
      <c r="C170" s="505"/>
      <c r="D170" s="18"/>
      <c r="E170" s="18"/>
      <c r="G170" s="9"/>
    </row>
    <row r="171" spans="1:7" x14ac:dyDescent="0.2">
      <c r="A171" s="16" t="s">
        <v>208</v>
      </c>
      <c r="B171" s="17" t="s">
        <v>33</v>
      </c>
      <c r="C171" s="16"/>
      <c r="D171" s="18">
        <f>63/302*(SUM(E166:E167))</f>
        <v>34.103443708609269</v>
      </c>
      <c r="E171" s="18">
        <f>D171</f>
        <v>34.103443708609269</v>
      </c>
      <c r="G171" s="9"/>
    </row>
    <row r="172" spans="1:7" x14ac:dyDescent="0.2">
      <c r="A172" s="92" t="s">
        <v>3</v>
      </c>
      <c r="B172" s="93"/>
      <c r="C172" s="93"/>
      <c r="D172" s="94"/>
      <c r="E172" s="94">
        <f>SUM(E162:E171)</f>
        <v>2978.2590011112065</v>
      </c>
      <c r="G172" s="9"/>
    </row>
    <row r="173" spans="1:7" x14ac:dyDescent="0.2">
      <c r="A173" s="290" t="s">
        <v>4</v>
      </c>
      <c r="B173" s="17" t="s">
        <v>2</v>
      </c>
      <c r="C173" s="125">
        <f>'2.Encargos Sociais'!$C$37*100</f>
        <v>70.595951999999997</v>
      </c>
      <c r="D173" s="18">
        <f>E172</f>
        <v>2978.2590011112065</v>
      </c>
      <c r="E173" s="18">
        <f>D173*C173/100</f>
        <v>2102.530294860147</v>
      </c>
      <c r="G173" s="9"/>
    </row>
    <row r="174" spans="1:7" ht="13.5" thickBot="1" x14ac:dyDescent="0.25">
      <c r="A174" s="92" t="s">
        <v>304</v>
      </c>
      <c r="B174" s="237"/>
      <c r="C174" s="237"/>
      <c r="D174" s="238"/>
      <c r="E174" s="94">
        <f>E172+E173</f>
        <v>5080.7892959713536</v>
      </c>
      <c r="G174" s="9"/>
    </row>
    <row r="175" spans="1:7" ht="11.25" customHeight="1" thickBot="1" x14ac:dyDescent="0.25">
      <c r="A175" s="16" t="s">
        <v>5</v>
      </c>
      <c r="B175" s="17" t="s">
        <v>6</v>
      </c>
      <c r="C175" s="80">
        <v>1</v>
      </c>
      <c r="D175" s="18">
        <f>E174</f>
        <v>5080.7892959713536</v>
      </c>
      <c r="E175" s="18">
        <f>C175*D175</f>
        <v>5080.7892959713536</v>
      </c>
      <c r="F175" s="113">
        <f>E175*E176</f>
        <v>5080.7892959713536</v>
      </c>
      <c r="G175" s="9"/>
    </row>
    <row r="176" spans="1:7" x14ac:dyDescent="0.2">
      <c r="D176" s="112" t="s">
        <v>188</v>
      </c>
      <c r="E176" s="48">
        <f>$B$70</f>
        <v>1</v>
      </c>
      <c r="G176" s="9"/>
    </row>
    <row r="177" spans="1:10" ht="11.25" customHeight="1" x14ac:dyDescent="0.2">
      <c r="D177" s="112"/>
      <c r="E177" s="55"/>
      <c r="G177" s="9"/>
    </row>
    <row r="178" spans="1:10" ht="13.5" thickBot="1" x14ac:dyDescent="0.25">
      <c r="A178" s="7" t="s">
        <v>333</v>
      </c>
      <c r="G178" s="9"/>
    </row>
    <row r="179" spans="1:10" ht="11.25" customHeight="1" thickBot="1" x14ac:dyDescent="0.25">
      <c r="A179" s="56" t="s">
        <v>62</v>
      </c>
      <c r="B179" s="57" t="s">
        <v>63</v>
      </c>
      <c r="C179" s="57" t="s">
        <v>40</v>
      </c>
      <c r="D179" s="58" t="s">
        <v>225</v>
      </c>
      <c r="E179" s="58" t="s">
        <v>64</v>
      </c>
      <c r="F179" s="59" t="s">
        <v>65</v>
      </c>
      <c r="G179" s="9"/>
    </row>
    <row r="180" spans="1:10" x14ac:dyDescent="0.2">
      <c r="A180" s="13" t="s">
        <v>205</v>
      </c>
      <c r="B180" s="14" t="s">
        <v>8</v>
      </c>
      <c r="C180" s="14">
        <v>1</v>
      </c>
      <c r="D180" s="81">
        <v>1540.51</v>
      </c>
      <c r="E180" s="15">
        <f>C180*D180</f>
        <v>1540.51</v>
      </c>
      <c r="G180" s="9"/>
    </row>
    <row r="181" spans="1:10" ht="11.25" customHeight="1" x14ac:dyDescent="0.2">
      <c r="A181" s="16" t="s">
        <v>34</v>
      </c>
      <c r="B181" s="17" t="s">
        <v>0</v>
      </c>
      <c r="C181" s="82">
        <v>6.71</v>
      </c>
      <c r="D181" s="18">
        <f>D180/220*G1864</f>
        <v>0</v>
      </c>
      <c r="E181" s="18">
        <f>C181*D181</f>
        <v>0</v>
      </c>
      <c r="G181" s="9"/>
    </row>
    <row r="182" spans="1:10" x14ac:dyDescent="0.2">
      <c r="A182" s="16" t="s">
        <v>35</v>
      </c>
      <c r="B182" s="17" t="s">
        <v>0</v>
      </c>
      <c r="C182" s="82"/>
      <c r="D182" s="18">
        <f>D180/220*1.5</f>
        <v>10.503477272727272</v>
      </c>
      <c r="E182" s="18">
        <f>C182*D182</f>
        <v>0</v>
      </c>
      <c r="G182" s="9"/>
    </row>
    <row r="183" spans="1:10" x14ac:dyDescent="0.2">
      <c r="A183" s="16"/>
      <c r="B183" s="17"/>
      <c r="C183" s="511"/>
      <c r="D183" s="18"/>
      <c r="E183" s="18"/>
      <c r="G183" s="9"/>
    </row>
    <row r="184" spans="1:10" x14ac:dyDescent="0.2">
      <c r="A184" s="16" t="s">
        <v>208</v>
      </c>
      <c r="B184" s="17" t="s">
        <v>33</v>
      </c>
      <c r="D184" s="18">
        <f>63/302*(SUM(E181:E182))</f>
        <v>0</v>
      </c>
      <c r="E184" s="18">
        <f>D184</f>
        <v>0</v>
      </c>
      <c r="G184" s="9"/>
    </row>
    <row r="185" spans="1:10" x14ac:dyDescent="0.2">
      <c r="A185" s="16" t="s">
        <v>1</v>
      </c>
      <c r="B185" s="17" t="s">
        <v>2</v>
      </c>
      <c r="C185" s="17"/>
      <c r="D185" s="77">
        <f>SUM(E180:E184)</f>
        <v>1540.51</v>
      </c>
      <c r="E185" s="18">
        <f>C185*D185/100</f>
        <v>0</v>
      </c>
      <c r="G185" s="9"/>
    </row>
    <row r="186" spans="1:10" x14ac:dyDescent="0.2">
      <c r="A186" s="106" t="s">
        <v>3</v>
      </c>
      <c r="B186" s="107"/>
      <c r="C186" s="107"/>
      <c r="D186" s="108"/>
      <c r="E186" s="109">
        <f>SUM(E180:E185)</f>
        <v>1540.51</v>
      </c>
      <c r="I186" s="79"/>
      <c r="J186" s="79"/>
    </row>
    <row r="187" spans="1:10" x14ac:dyDescent="0.2">
      <c r="A187" s="16" t="s">
        <v>4</v>
      </c>
      <c r="B187" s="17" t="s">
        <v>2</v>
      </c>
      <c r="C187" s="125">
        <f>'2.Encargos Sociais'!$C$37*100</f>
        <v>70.595951999999997</v>
      </c>
      <c r="D187" s="18">
        <f>E186</f>
        <v>1540.51</v>
      </c>
      <c r="E187" s="18">
        <f>D187*C187/100</f>
        <v>1087.5377001551999</v>
      </c>
    </row>
    <row r="188" spans="1:10" ht="13.5" thickBot="1" x14ac:dyDescent="0.25">
      <c r="A188" s="106" t="s">
        <v>339</v>
      </c>
      <c r="B188" s="107"/>
      <c r="C188" s="107"/>
      <c r="D188" s="108"/>
      <c r="E188" s="109">
        <f>E186+E187</f>
        <v>2628.0477001551999</v>
      </c>
    </row>
    <row r="189" spans="1:10" ht="13.5" thickBot="1" x14ac:dyDescent="0.25">
      <c r="A189" s="16" t="s">
        <v>5</v>
      </c>
      <c r="B189" s="17" t="s">
        <v>6</v>
      </c>
      <c r="C189" s="80">
        <v>1</v>
      </c>
      <c r="D189" s="18">
        <f>E188</f>
        <v>2628.0477001551999</v>
      </c>
      <c r="E189" s="18">
        <f>C189*D189</f>
        <v>2628.0477001551999</v>
      </c>
      <c r="F189" s="113">
        <f>E189*E190</f>
        <v>2628.0477001551999</v>
      </c>
      <c r="G189" s="9"/>
    </row>
    <row r="190" spans="1:10" x14ac:dyDescent="0.2">
      <c r="D190" s="112" t="s">
        <v>188</v>
      </c>
      <c r="E190" s="48">
        <v>1</v>
      </c>
    </row>
    <row r="191" spans="1:10" x14ac:dyDescent="0.2">
      <c r="D191" s="112"/>
      <c r="E191" s="55"/>
      <c r="I191" s="79"/>
      <c r="J191" s="79"/>
    </row>
    <row r="192" spans="1:10" ht="13.5" thickBot="1" x14ac:dyDescent="0.25">
      <c r="A192" s="7" t="s">
        <v>332</v>
      </c>
    </row>
    <row r="193" spans="1:10" ht="13.5" thickBot="1" x14ac:dyDescent="0.25">
      <c r="A193" s="56" t="s">
        <v>62</v>
      </c>
      <c r="B193" s="57" t="s">
        <v>63</v>
      </c>
      <c r="C193" s="57" t="s">
        <v>40</v>
      </c>
      <c r="D193" s="58" t="s">
        <v>225</v>
      </c>
      <c r="E193" s="58" t="s">
        <v>64</v>
      </c>
      <c r="F193" s="59" t="s">
        <v>65</v>
      </c>
    </row>
    <row r="194" spans="1:10" x14ac:dyDescent="0.2">
      <c r="A194" s="13" t="s">
        <v>205</v>
      </c>
      <c r="B194" s="14" t="s">
        <v>8</v>
      </c>
      <c r="C194" s="14">
        <v>1</v>
      </c>
      <c r="D194" s="15">
        <f>D180</f>
        <v>1540.51</v>
      </c>
      <c r="E194" s="15">
        <f>C194*D194</f>
        <v>1540.51</v>
      </c>
    </row>
    <row r="195" spans="1:10" x14ac:dyDescent="0.2">
      <c r="A195" s="16" t="s">
        <v>7</v>
      </c>
      <c r="B195" s="291" t="s">
        <v>384</v>
      </c>
      <c r="C195" s="82">
        <v>26</v>
      </c>
      <c r="D195" s="18"/>
      <c r="E195" s="18"/>
    </row>
    <row r="196" spans="1:10" x14ac:dyDescent="0.2">
      <c r="A196" s="16"/>
      <c r="B196" s="291" t="s">
        <v>385</v>
      </c>
      <c r="C196" s="110">
        <f>C195*8/7</f>
        <v>29.714285714285715</v>
      </c>
      <c r="D196" s="18">
        <f>D194/220*0.2</f>
        <v>1.4004636363636365</v>
      </c>
      <c r="E196" s="18">
        <f>C196*D196</f>
        <v>41.61377662337663</v>
      </c>
    </row>
    <row r="197" spans="1:10" ht="11.25" customHeight="1" x14ac:dyDescent="0.2">
      <c r="A197" s="16" t="s">
        <v>34</v>
      </c>
      <c r="B197" s="17" t="s">
        <v>0</v>
      </c>
      <c r="C197" s="82">
        <v>6.71</v>
      </c>
      <c r="D197" s="18">
        <f>D194/220*2</f>
        <v>14.004636363636363</v>
      </c>
      <c r="E197" s="18">
        <f>C197*D197</f>
        <v>93.971109999999996</v>
      </c>
    </row>
    <row r="198" spans="1:10" x14ac:dyDescent="0.2">
      <c r="A198" s="16" t="s">
        <v>95</v>
      </c>
      <c r="B198" s="291" t="s">
        <v>384</v>
      </c>
      <c r="C198" s="82">
        <v>0.92</v>
      </c>
      <c r="D198" s="18"/>
      <c r="E198" s="18"/>
    </row>
    <row r="199" spans="1:10" x14ac:dyDescent="0.2">
      <c r="A199" s="16"/>
      <c r="B199" s="291" t="s">
        <v>385</v>
      </c>
      <c r="C199" s="110">
        <f>C198*8/7</f>
        <v>1.0514285714285714</v>
      </c>
      <c r="D199" s="18">
        <f>D194/220*2*1.2</f>
        <v>16.805563636363637</v>
      </c>
      <c r="E199" s="18">
        <f>C199*D199</f>
        <v>17.669849766233767</v>
      </c>
      <c r="I199" s="79"/>
      <c r="J199" s="79"/>
    </row>
    <row r="200" spans="1:10" x14ac:dyDescent="0.2">
      <c r="A200" s="16" t="s">
        <v>35</v>
      </c>
      <c r="B200" s="17" t="s">
        <v>0</v>
      </c>
      <c r="C200" s="82"/>
      <c r="D200" s="18">
        <f>D194/220*1.5</f>
        <v>10.503477272727272</v>
      </c>
      <c r="E200" s="18">
        <f>C200*D200</f>
        <v>0</v>
      </c>
      <c r="I200" s="79"/>
      <c r="J200" s="79"/>
    </row>
    <row r="201" spans="1:10" x14ac:dyDescent="0.2">
      <c r="A201" s="16" t="s">
        <v>207</v>
      </c>
      <c r="B201" s="291" t="s">
        <v>384</v>
      </c>
      <c r="C201" s="82"/>
      <c r="D201" s="18"/>
      <c r="E201" s="18"/>
      <c r="I201" s="79"/>
      <c r="J201" s="79"/>
    </row>
    <row r="202" spans="1:10" x14ac:dyDescent="0.2">
      <c r="A202" s="16"/>
      <c r="B202" s="291" t="s">
        <v>385</v>
      </c>
      <c r="C202" s="18">
        <f>C201*8/7</f>
        <v>0</v>
      </c>
      <c r="D202" s="18">
        <f>D194/220*1.5*1.2</f>
        <v>12.604172727272726</v>
      </c>
      <c r="E202" s="18">
        <f>C202*D202</f>
        <v>0</v>
      </c>
      <c r="I202" s="79"/>
      <c r="J202" s="79"/>
    </row>
    <row r="203" spans="1:10" x14ac:dyDescent="0.2">
      <c r="A203" s="16" t="s">
        <v>208</v>
      </c>
      <c r="B203" s="17" t="s">
        <v>33</v>
      </c>
      <c r="D203" s="18">
        <f>63/302*(SUM(E197:E202))</f>
        <v>23.289339288982543</v>
      </c>
      <c r="E203" s="18">
        <f>D203</f>
        <v>23.289339288982543</v>
      </c>
      <c r="I203" s="79"/>
      <c r="J203" s="79"/>
    </row>
    <row r="204" spans="1:10" x14ac:dyDescent="0.2">
      <c r="A204" s="16" t="s">
        <v>1</v>
      </c>
      <c r="B204" s="17" t="s">
        <v>2</v>
      </c>
      <c r="C204" s="17"/>
      <c r="D204" s="77">
        <f>SUM(E194:E203)</f>
        <v>1717.0540756785929</v>
      </c>
      <c r="E204" s="18">
        <f>C204*D204/100</f>
        <v>0</v>
      </c>
      <c r="I204" s="79"/>
      <c r="J204" s="79"/>
    </row>
    <row r="205" spans="1:10" x14ac:dyDescent="0.2">
      <c r="A205" s="106" t="s">
        <v>3</v>
      </c>
      <c r="B205" s="107"/>
      <c r="C205" s="107"/>
      <c r="D205" s="108"/>
      <c r="E205" s="109">
        <f>SUM(E194:E204)</f>
        <v>1717.0540756785929</v>
      </c>
      <c r="I205" s="79"/>
      <c r="J205" s="79"/>
    </row>
    <row r="206" spans="1:10" x14ac:dyDescent="0.2">
      <c r="A206" s="16" t="s">
        <v>4</v>
      </c>
      <c r="B206" s="17" t="s">
        <v>2</v>
      </c>
      <c r="C206" s="125">
        <f>'2.Encargos Sociais'!$C$37*100</f>
        <v>70.595951999999997</v>
      </c>
      <c r="D206" s="18">
        <f>E205</f>
        <v>1717.0540756785929</v>
      </c>
      <c r="E206" s="18">
        <f>D206*C206/100</f>
        <v>1212.1706710801031</v>
      </c>
      <c r="I206" s="79"/>
      <c r="J206" s="79"/>
    </row>
    <row r="207" spans="1:10" ht="13.5" thickBot="1" x14ac:dyDescent="0.25">
      <c r="A207" s="106" t="s">
        <v>339</v>
      </c>
      <c r="B207" s="107"/>
      <c r="C207" s="107"/>
      <c r="D207" s="108"/>
      <c r="E207" s="109">
        <f>E205+E206</f>
        <v>2929.2247467586958</v>
      </c>
      <c r="I207" s="79"/>
      <c r="J207" s="79"/>
    </row>
    <row r="208" spans="1:10" ht="13.5" thickBot="1" x14ac:dyDescent="0.25">
      <c r="A208" s="16" t="s">
        <v>5</v>
      </c>
      <c r="B208" s="17" t="s">
        <v>6</v>
      </c>
      <c r="C208" s="80">
        <v>1</v>
      </c>
      <c r="D208" s="18">
        <f>E207</f>
        <v>2929.2247467586958</v>
      </c>
      <c r="E208" s="18">
        <f>C208*D208</f>
        <v>2929.2247467586958</v>
      </c>
      <c r="F208" s="113">
        <f>E208*E209</f>
        <v>2929.2247467586958</v>
      </c>
      <c r="I208" s="79"/>
      <c r="J208" s="79"/>
    </row>
    <row r="209" spans="1:10" x14ac:dyDescent="0.2">
      <c r="D209" s="112" t="s">
        <v>188</v>
      </c>
      <c r="E209" s="48">
        <f>$B$70</f>
        <v>1</v>
      </c>
      <c r="I209" s="79"/>
      <c r="J209" s="79"/>
    </row>
    <row r="210" spans="1:10" x14ac:dyDescent="0.2">
      <c r="D210" s="112"/>
      <c r="E210" s="55"/>
      <c r="I210" s="79"/>
      <c r="J210" s="79"/>
    </row>
    <row r="211" spans="1:10" ht="13.5" thickBot="1" x14ac:dyDescent="0.25">
      <c r="A211" s="7" t="s">
        <v>335</v>
      </c>
      <c r="B211" s="85"/>
      <c r="D211" s="9"/>
      <c r="E211" s="9"/>
      <c r="I211" s="79"/>
      <c r="J211" s="79"/>
    </row>
    <row r="212" spans="1:10" ht="13.5" thickBot="1" x14ac:dyDescent="0.25">
      <c r="A212" s="98" t="s">
        <v>62</v>
      </c>
      <c r="B212" s="99" t="s">
        <v>63</v>
      </c>
      <c r="C212" s="99" t="s">
        <v>40</v>
      </c>
      <c r="D212" s="100" t="s">
        <v>225</v>
      </c>
      <c r="E212" s="100" t="s">
        <v>64</v>
      </c>
      <c r="F212" s="59" t="s">
        <v>65</v>
      </c>
      <c r="I212" s="79"/>
      <c r="J212" s="79"/>
    </row>
    <row r="213" spans="1:10" ht="11.25" customHeight="1" x14ac:dyDescent="0.2">
      <c r="A213" s="16" t="s">
        <v>88</v>
      </c>
      <c r="B213" s="17" t="s">
        <v>33</v>
      </c>
      <c r="C213" s="86">
        <v>1</v>
      </c>
      <c r="D213" s="327">
        <v>5</v>
      </c>
      <c r="E213" s="18"/>
      <c r="F213" s="23"/>
      <c r="I213" s="79"/>
      <c r="J213" s="79"/>
    </row>
    <row r="214" spans="1:10" x14ac:dyDescent="0.2">
      <c r="A214" s="16" t="s">
        <v>89</v>
      </c>
      <c r="B214" s="17" t="s">
        <v>90</v>
      </c>
      <c r="C214" s="328">
        <v>26</v>
      </c>
      <c r="D214" s="18"/>
      <c r="E214" s="18"/>
      <c r="F214" s="23"/>
      <c r="I214" s="79"/>
      <c r="J214" s="79"/>
    </row>
    <row r="215" spans="1:10" x14ac:dyDescent="0.2">
      <c r="A215" s="16" t="s">
        <v>71</v>
      </c>
      <c r="B215" s="17" t="s">
        <v>9</v>
      </c>
      <c r="C215" s="35">
        <f>$C$214*2*(C84+C103)</f>
        <v>1872</v>
      </c>
      <c r="D215" s="18">
        <f>IFERROR((($C$214*2*$D$213)-(E76*0.06*C214/26))/($C$214*2),"-")</f>
        <v>2.9039576923076926</v>
      </c>
      <c r="E215" s="18">
        <f>IFERROR(C215*D215,"-")</f>
        <v>5436.2088000000003</v>
      </c>
      <c r="I215" s="79"/>
      <c r="J215" s="79"/>
    </row>
    <row r="216" spans="1:10" x14ac:dyDescent="0.2">
      <c r="A216" s="16" t="s">
        <v>44</v>
      </c>
      <c r="B216" s="17" t="s">
        <v>9</v>
      </c>
      <c r="C216" s="35">
        <f>$C$214*2*(C121+C144)</f>
        <v>624</v>
      </c>
      <c r="D216" s="18">
        <f>IFERROR((($C$214*2*$D$213)-(E108*0.06*C214/26))/($C$214*2),"-")</f>
        <v>2.4021269230769233</v>
      </c>
      <c r="E216" s="18">
        <f>IFERROR(C216*D216,"-")</f>
        <v>1498.9272000000001</v>
      </c>
      <c r="I216" s="79"/>
      <c r="J216" s="79"/>
    </row>
    <row r="217" spans="1:10" x14ac:dyDescent="0.2">
      <c r="A217" s="290" t="s">
        <v>325</v>
      </c>
      <c r="B217" s="291" t="s">
        <v>9</v>
      </c>
      <c r="C217" s="35">
        <f>$C$214*2*(C157+C175)</f>
        <v>104</v>
      </c>
      <c r="D217" s="329">
        <f>IFERROR((($C$214*2*$D$213)-(E149*0.06*C214/26))/($C$214*2),"-")</f>
        <v>1.907692307692308</v>
      </c>
      <c r="E217" s="18">
        <f>IFERROR(C217*D217,"-")</f>
        <v>198.40000000000003</v>
      </c>
      <c r="I217" s="79"/>
      <c r="J217" s="79"/>
    </row>
    <row r="218" spans="1:10" ht="13.5" thickBot="1" x14ac:dyDescent="0.25">
      <c r="A218" s="290" t="s">
        <v>334</v>
      </c>
      <c r="B218" s="291" t="s">
        <v>9</v>
      </c>
      <c r="C218" s="16">
        <f>$C$214*2*(C189+C208)</f>
        <v>104</v>
      </c>
      <c r="D218" s="48">
        <f>IFERROR((($C$214*2*$D$213)-(E180*0.06*C214/26))/($C$214*2),"-")</f>
        <v>3.2224884615384615</v>
      </c>
      <c r="E218" s="48">
        <f>IFERROR(C218*D218,"-")</f>
        <v>335.1388</v>
      </c>
      <c r="F218" s="9"/>
      <c r="I218" s="79"/>
      <c r="J218" s="79"/>
    </row>
    <row r="219" spans="1:10" ht="13.5" thickBot="1" x14ac:dyDescent="0.25">
      <c r="D219" s="112" t="s">
        <v>188</v>
      </c>
      <c r="E219" s="48">
        <f>$B$70</f>
        <v>1</v>
      </c>
      <c r="F219" s="301">
        <f>SUM(E215:E218)*E219</f>
        <v>7468.6747999999998</v>
      </c>
      <c r="I219" s="79"/>
      <c r="J219" s="79"/>
    </row>
    <row r="220" spans="1:10" x14ac:dyDescent="0.2">
      <c r="B220" s="19"/>
      <c r="I220" s="79"/>
      <c r="J220" s="79"/>
    </row>
    <row r="221" spans="1:10" ht="11.25" customHeight="1" x14ac:dyDescent="0.2">
      <c r="B221" s="19"/>
      <c r="I221" s="79"/>
      <c r="J221" s="79"/>
    </row>
    <row r="222" spans="1:10" ht="13.5" thickBot="1" x14ac:dyDescent="0.25">
      <c r="A222" s="7" t="s">
        <v>336</v>
      </c>
      <c r="I222" s="79"/>
      <c r="J222" s="79"/>
    </row>
    <row r="223" spans="1:10" ht="13.5" thickBot="1" x14ac:dyDescent="0.25">
      <c r="A223" s="56" t="s">
        <v>62</v>
      </c>
      <c r="B223" s="57" t="s">
        <v>63</v>
      </c>
      <c r="C223" s="57" t="s">
        <v>40</v>
      </c>
      <c r="D223" s="58" t="s">
        <v>225</v>
      </c>
      <c r="E223" s="58" t="s">
        <v>64</v>
      </c>
      <c r="F223" s="59" t="s">
        <v>65</v>
      </c>
      <c r="I223" s="79"/>
      <c r="J223" s="79"/>
    </row>
    <row r="224" spans="1:10" x14ac:dyDescent="0.2">
      <c r="A224" s="16" t="str">
        <f>+A215</f>
        <v>Coletor</v>
      </c>
      <c r="B224" s="17" t="s">
        <v>10</v>
      </c>
      <c r="C224" s="334">
        <f>C214*(E55+E56)</f>
        <v>936</v>
      </c>
      <c r="D224" s="83">
        <v>19.18</v>
      </c>
      <c r="E224" s="48">
        <f>C224*D224</f>
        <v>17952.48</v>
      </c>
      <c r="I224" s="79"/>
      <c r="J224" s="79"/>
    </row>
    <row r="225" spans="1:10" x14ac:dyDescent="0.2">
      <c r="A225" s="16" t="str">
        <f>+A216</f>
        <v>Motorista</v>
      </c>
      <c r="B225" s="17" t="s">
        <v>10</v>
      </c>
      <c r="C225" s="334">
        <f>C214*(E57+E58)</f>
        <v>312</v>
      </c>
      <c r="D225" s="83">
        <v>12.8</v>
      </c>
      <c r="E225" s="48">
        <f>C225*D225</f>
        <v>3993.6000000000004</v>
      </c>
      <c r="F225" s="23"/>
      <c r="I225" s="79"/>
      <c r="J225" s="79"/>
    </row>
    <row r="226" spans="1:10" x14ac:dyDescent="0.2">
      <c r="A226" s="290" t="s">
        <v>337</v>
      </c>
      <c r="B226" s="291" t="s">
        <v>10</v>
      </c>
      <c r="C226" s="2">
        <v>52</v>
      </c>
      <c r="D226" s="83">
        <f>D224</f>
        <v>19.18</v>
      </c>
      <c r="E226" s="48">
        <f>C226*D226</f>
        <v>997.36</v>
      </c>
      <c r="F226" s="23"/>
      <c r="I226" s="79"/>
      <c r="J226" s="79"/>
    </row>
    <row r="227" spans="1:10" ht="13.5" thickBot="1" x14ac:dyDescent="0.25">
      <c r="A227" s="290" t="s">
        <v>338</v>
      </c>
      <c r="B227" s="291" t="s">
        <v>10</v>
      </c>
      <c r="C227" s="2">
        <v>52</v>
      </c>
      <c r="D227" s="83">
        <f>D224</f>
        <v>19.18</v>
      </c>
      <c r="E227" s="48">
        <f>C227*D227</f>
        <v>997.36</v>
      </c>
      <c r="I227" s="79"/>
      <c r="J227" s="79"/>
    </row>
    <row r="228" spans="1:10" ht="13.5" thickBot="1" x14ac:dyDescent="0.25">
      <c r="D228" s="112" t="s">
        <v>188</v>
      </c>
      <c r="E228" s="48">
        <f>$B$70</f>
        <v>1</v>
      </c>
      <c r="F228" s="22">
        <f>SUM(E224:E227)*E228</f>
        <v>23940.800000000003</v>
      </c>
      <c r="I228" s="79"/>
      <c r="J228" s="79"/>
    </row>
    <row r="229" spans="1:10" x14ac:dyDescent="0.2">
      <c r="G229" s="101"/>
      <c r="I229" s="79"/>
      <c r="J229" s="79"/>
    </row>
    <row r="230" spans="1:10" ht="13.5" thickBot="1" x14ac:dyDescent="0.25">
      <c r="A230" s="7" t="s">
        <v>559</v>
      </c>
      <c r="F230" s="23"/>
      <c r="G230" s="101"/>
      <c r="I230" s="79"/>
      <c r="J230" s="79"/>
    </row>
    <row r="231" spans="1:10" ht="13.5" thickBot="1" x14ac:dyDescent="0.25">
      <c r="A231" s="56" t="s">
        <v>62</v>
      </c>
      <c r="B231" s="57" t="s">
        <v>63</v>
      </c>
      <c r="C231" s="57" t="s">
        <v>40</v>
      </c>
      <c r="D231" s="58" t="s">
        <v>225</v>
      </c>
      <c r="E231" s="58" t="s">
        <v>64</v>
      </c>
      <c r="F231" s="59" t="s">
        <v>65</v>
      </c>
      <c r="G231" s="101"/>
      <c r="I231" s="79"/>
      <c r="J231" s="79"/>
    </row>
    <row r="232" spans="1:10" x14ac:dyDescent="0.2">
      <c r="A232" s="16" t="str">
        <f>+A224</f>
        <v>Coletor</v>
      </c>
      <c r="B232" s="17" t="s">
        <v>10</v>
      </c>
      <c r="C232" s="91"/>
      <c r="D232" s="83">
        <v>0</v>
      </c>
      <c r="E232" s="48">
        <f>C232*D232</f>
        <v>0</v>
      </c>
      <c r="F232" s="23"/>
      <c r="G232" s="101"/>
      <c r="I232" s="79"/>
      <c r="J232" s="79"/>
    </row>
    <row r="233" spans="1:10" ht="13.5" thickBot="1" x14ac:dyDescent="0.25">
      <c r="A233" s="16" t="str">
        <f>+A225</f>
        <v>Motorista</v>
      </c>
      <c r="B233" s="17" t="s">
        <v>10</v>
      </c>
      <c r="C233" s="91">
        <f>E57+E58</f>
        <v>12</v>
      </c>
      <c r="D233" s="83">
        <v>97.14</v>
      </c>
      <c r="E233" s="48">
        <f>C233*D233</f>
        <v>1165.68</v>
      </c>
      <c r="G233" s="101"/>
      <c r="I233" s="79"/>
      <c r="J233" s="79"/>
    </row>
    <row r="234" spans="1:10" ht="13.5" thickBot="1" x14ac:dyDescent="0.25">
      <c r="D234" s="112" t="s">
        <v>188</v>
      </c>
      <c r="E234" s="48">
        <f>$B$70</f>
        <v>1</v>
      </c>
      <c r="F234" s="22">
        <f>SUM(E232:E233)*E234</f>
        <v>1165.68</v>
      </c>
      <c r="G234" s="101"/>
      <c r="I234" s="79"/>
      <c r="J234" s="79"/>
    </row>
    <row r="235" spans="1:10" x14ac:dyDescent="0.2">
      <c r="D235" s="112"/>
      <c r="E235" s="55"/>
      <c r="F235" s="501"/>
      <c r="G235" s="101"/>
      <c r="I235" s="79"/>
      <c r="J235" s="79"/>
    </row>
    <row r="236" spans="1:10" ht="13.5" thickBot="1" x14ac:dyDescent="0.25">
      <c r="A236" s="7" t="s">
        <v>562</v>
      </c>
      <c r="B236" s="7" t="s">
        <v>557</v>
      </c>
      <c r="F236" s="23"/>
      <c r="G236" s="101"/>
      <c r="I236" s="79"/>
      <c r="J236" s="79"/>
    </row>
    <row r="237" spans="1:10" ht="13.5" thickBot="1" x14ac:dyDescent="0.25">
      <c r="A237" s="56" t="s">
        <v>62</v>
      </c>
      <c r="B237" s="57" t="s">
        <v>63</v>
      </c>
      <c r="C237" s="57" t="s">
        <v>40</v>
      </c>
      <c r="D237" s="58" t="s">
        <v>225</v>
      </c>
      <c r="E237" s="58" t="s">
        <v>64</v>
      </c>
      <c r="F237" s="59" t="s">
        <v>65</v>
      </c>
      <c r="G237" s="101"/>
      <c r="I237" s="79"/>
      <c r="J237" s="79"/>
    </row>
    <row r="238" spans="1:10" x14ac:dyDescent="0.2">
      <c r="A238" s="290" t="s">
        <v>601</v>
      </c>
      <c r="B238" s="17" t="s">
        <v>10</v>
      </c>
      <c r="C238" s="502">
        <v>40</v>
      </c>
      <c r="D238" s="83">
        <v>22.5</v>
      </c>
      <c r="E238" s="48">
        <f>C238*D238</f>
        <v>900</v>
      </c>
      <c r="F238" s="23"/>
      <c r="I238" s="79"/>
      <c r="J238" s="79"/>
    </row>
    <row r="239" spans="1:10" x14ac:dyDescent="0.2">
      <c r="A239" s="290" t="s">
        <v>602</v>
      </c>
      <c r="B239" s="291" t="s">
        <v>603</v>
      </c>
      <c r="C239" s="502">
        <v>1</v>
      </c>
      <c r="D239" s="83">
        <v>400</v>
      </c>
      <c r="E239" s="48">
        <v>400</v>
      </c>
      <c r="F239" s="23"/>
      <c r="I239" s="79"/>
      <c r="J239" s="79"/>
    </row>
    <row r="240" spans="1:10" ht="13.5" thickBot="1" x14ac:dyDescent="0.25">
      <c r="A240" s="290" t="s">
        <v>64</v>
      </c>
      <c r="B240" s="17"/>
      <c r="C240" s="502"/>
      <c r="D240" s="83"/>
      <c r="E240" s="48">
        <v>1300</v>
      </c>
      <c r="F240" s="23"/>
      <c r="I240" s="79"/>
      <c r="J240" s="79"/>
    </row>
    <row r="241" spans="1:10" ht="11.25" customHeight="1" thickBot="1" x14ac:dyDescent="0.25">
      <c r="A241" s="290" t="s">
        <v>561</v>
      </c>
      <c r="B241" s="17"/>
      <c r="C241" s="91"/>
      <c r="D241" s="77"/>
      <c r="E241" s="353"/>
      <c r="F241" s="417">
        <f>E240/12</f>
        <v>108.33333333333333</v>
      </c>
      <c r="I241" s="79"/>
      <c r="J241" s="79"/>
    </row>
    <row r="242" spans="1:10" x14ac:dyDescent="0.2">
      <c r="D242" s="112"/>
      <c r="E242" s="55"/>
      <c r="F242" s="501"/>
      <c r="I242" s="79"/>
      <c r="J242" s="79"/>
    </row>
    <row r="243" spans="1:10" x14ac:dyDescent="0.2">
      <c r="D243" s="112"/>
      <c r="E243" s="55"/>
      <c r="I243" s="79"/>
      <c r="J243" s="79"/>
    </row>
    <row r="244" spans="1:10" ht="13.5" thickBot="1" x14ac:dyDescent="0.25">
      <c r="A244" s="7" t="s">
        <v>558</v>
      </c>
      <c r="F244" s="23"/>
      <c r="I244" s="79"/>
      <c r="J244" s="79"/>
    </row>
    <row r="245" spans="1:10" ht="13.5" thickBot="1" x14ac:dyDescent="0.25">
      <c r="A245" s="56" t="s">
        <v>62</v>
      </c>
      <c r="B245" s="57" t="s">
        <v>63</v>
      </c>
      <c r="C245" s="57" t="s">
        <v>40</v>
      </c>
      <c r="D245" s="58" t="s">
        <v>225</v>
      </c>
      <c r="E245" s="58" t="s">
        <v>64</v>
      </c>
      <c r="F245" s="59" t="s">
        <v>65</v>
      </c>
      <c r="I245" s="79"/>
      <c r="J245" s="79"/>
    </row>
    <row r="246" spans="1:10" ht="11.25" customHeight="1" thickBot="1" x14ac:dyDescent="0.25">
      <c r="A246" s="290" t="s">
        <v>551</v>
      </c>
      <c r="B246" s="17" t="s">
        <v>10</v>
      </c>
      <c r="C246" s="91">
        <f>C238</f>
        <v>40</v>
      </c>
      <c r="D246" s="83">
        <v>18.5</v>
      </c>
      <c r="E246" s="48">
        <f>C246*D246</f>
        <v>740</v>
      </c>
      <c r="F246" s="23"/>
      <c r="I246" s="79"/>
      <c r="J246" s="79"/>
    </row>
    <row r="247" spans="1:10" ht="13.5" thickBot="1" x14ac:dyDescent="0.25">
      <c r="A247" s="290" t="s">
        <v>563</v>
      </c>
      <c r="B247" s="17"/>
      <c r="C247" s="91"/>
      <c r="D247" s="77"/>
      <c r="E247" s="353"/>
      <c r="F247" s="417">
        <f>E246</f>
        <v>740</v>
      </c>
      <c r="I247" s="79"/>
      <c r="J247" s="79"/>
    </row>
    <row r="248" spans="1:10" x14ac:dyDescent="0.2">
      <c r="B248" s="19"/>
      <c r="C248" s="503"/>
      <c r="D248" s="51"/>
      <c r="E248" s="55"/>
      <c r="I248" s="79"/>
      <c r="J248" s="79"/>
    </row>
    <row r="249" spans="1:10" ht="13.5" thickBot="1" x14ac:dyDescent="0.25">
      <c r="I249" s="79"/>
      <c r="J249" s="79"/>
    </row>
    <row r="250" spans="1:10" ht="13.5" thickBot="1" x14ac:dyDescent="0.25">
      <c r="A250" s="24" t="s">
        <v>91</v>
      </c>
      <c r="B250" s="25"/>
      <c r="C250" s="25"/>
      <c r="D250" s="26"/>
      <c r="E250" s="27"/>
      <c r="F250" s="22">
        <f>F247+F241+F234+F228+F219+F208+F189+F175+F157+F144+F121+F103+F84</f>
        <v>286251.20259426325</v>
      </c>
      <c r="I250" s="79"/>
      <c r="J250" s="79"/>
    </row>
    <row r="251" spans="1:10" x14ac:dyDescent="0.2">
      <c r="I251" s="79"/>
      <c r="J251" s="79"/>
    </row>
    <row r="252" spans="1:10" x14ac:dyDescent="0.2">
      <c r="A252" s="11" t="s">
        <v>45</v>
      </c>
      <c r="I252" s="79"/>
      <c r="J252" s="79"/>
    </row>
    <row r="253" spans="1:10" x14ac:dyDescent="0.2">
      <c r="I253" s="79"/>
      <c r="J253" s="79"/>
    </row>
    <row r="254" spans="1:10" x14ac:dyDescent="0.2">
      <c r="A254" s="9" t="s">
        <v>190</v>
      </c>
      <c r="I254" s="79"/>
      <c r="J254" s="79"/>
    </row>
    <row r="255" spans="1:10" ht="11.25" customHeight="1" thickBot="1" x14ac:dyDescent="0.25">
      <c r="I255" s="79"/>
      <c r="J255" s="79"/>
    </row>
    <row r="256" spans="1:10" ht="11.25" customHeight="1" thickBot="1" x14ac:dyDescent="0.25">
      <c r="A256" s="56" t="s">
        <v>62</v>
      </c>
      <c r="B256" s="57" t="s">
        <v>63</v>
      </c>
      <c r="C256" s="239" t="s">
        <v>241</v>
      </c>
      <c r="D256" s="58" t="s">
        <v>225</v>
      </c>
      <c r="E256" s="58" t="s">
        <v>64</v>
      </c>
      <c r="F256" s="59" t="s">
        <v>65</v>
      </c>
      <c r="G256" s="9"/>
    </row>
    <row r="257" spans="1:7" x14ac:dyDescent="0.2">
      <c r="A257" s="13" t="s">
        <v>66</v>
      </c>
      <c r="B257" s="14" t="s">
        <v>10</v>
      </c>
      <c r="C257" s="90">
        <v>12</v>
      </c>
      <c r="D257" s="81">
        <v>65.52</v>
      </c>
      <c r="E257" s="15">
        <f>IFERROR(D257/C257,0)</f>
        <v>5.46</v>
      </c>
      <c r="G257" s="9"/>
    </row>
    <row r="258" spans="1:7" ht="11.25" customHeight="1" x14ac:dyDescent="0.2">
      <c r="A258" s="16" t="s">
        <v>28</v>
      </c>
      <c r="B258" s="17" t="s">
        <v>10</v>
      </c>
      <c r="C258" s="90">
        <v>4</v>
      </c>
      <c r="D258" s="81">
        <v>77.900000000000006</v>
      </c>
      <c r="E258" s="15">
        <f t="shared" ref="E258:E266" si="1">IFERROR(D258/C258,0)</f>
        <v>19.475000000000001</v>
      </c>
      <c r="G258" s="9"/>
    </row>
    <row r="259" spans="1:7" x14ac:dyDescent="0.2">
      <c r="A259" s="16" t="s">
        <v>29</v>
      </c>
      <c r="B259" s="17" t="s">
        <v>10</v>
      </c>
      <c r="C259" s="90">
        <v>4</v>
      </c>
      <c r="D259" s="81">
        <v>46.99</v>
      </c>
      <c r="E259" s="15">
        <f t="shared" si="1"/>
        <v>11.7475</v>
      </c>
      <c r="F259" s="36"/>
      <c r="G259" s="9"/>
    </row>
    <row r="260" spans="1:7" ht="11.25" customHeight="1" x14ac:dyDescent="0.2">
      <c r="A260" s="16" t="s">
        <v>30</v>
      </c>
      <c r="B260" s="17" t="s">
        <v>10</v>
      </c>
      <c r="C260" s="90">
        <v>3</v>
      </c>
      <c r="D260" s="81">
        <v>20.99</v>
      </c>
      <c r="E260" s="15">
        <f t="shared" si="1"/>
        <v>6.9966666666666661</v>
      </c>
      <c r="G260" s="9"/>
    </row>
    <row r="261" spans="1:7" x14ac:dyDescent="0.2">
      <c r="A261" s="16" t="s">
        <v>68</v>
      </c>
      <c r="B261" s="17" t="s">
        <v>48</v>
      </c>
      <c r="C261" s="90">
        <v>6</v>
      </c>
      <c r="D261" s="81">
        <v>59.9</v>
      </c>
      <c r="E261" s="15">
        <f t="shared" si="1"/>
        <v>9.9833333333333325</v>
      </c>
      <c r="G261" s="9"/>
    </row>
    <row r="262" spans="1:7" x14ac:dyDescent="0.2">
      <c r="A262" s="16" t="s">
        <v>92</v>
      </c>
      <c r="B262" s="17" t="s">
        <v>48</v>
      </c>
      <c r="C262" s="90">
        <v>3</v>
      </c>
      <c r="D262" s="81">
        <v>10.98</v>
      </c>
      <c r="E262" s="15">
        <f t="shared" si="1"/>
        <v>3.66</v>
      </c>
      <c r="G262" s="9"/>
    </row>
    <row r="263" spans="1:7" x14ac:dyDescent="0.2">
      <c r="A263" s="16" t="s">
        <v>67</v>
      </c>
      <c r="B263" s="17" t="s">
        <v>10</v>
      </c>
      <c r="C263" s="90">
        <v>4</v>
      </c>
      <c r="D263" s="81">
        <v>39.659999999999997</v>
      </c>
      <c r="E263" s="15">
        <f t="shared" si="1"/>
        <v>9.9149999999999991</v>
      </c>
      <c r="G263" s="9"/>
    </row>
    <row r="264" spans="1:7" x14ac:dyDescent="0.2">
      <c r="A264" s="2" t="s">
        <v>11</v>
      </c>
      <c r="B264" s="3" t="s">
        <v>10</v>
      </c>
      <c r="C264" s="90">
        <v>12</v>
      </c>
      <c r="D264" s="81">
        <v>54.96</v>
      </c>
      <c r="E264" s="15">
        <f t="shared" si="1"/>
        <v>4.58</v>
      </c>
      <c r="G264" s="9"/>
    </row>
    <row r="265" spans="1:7" x14ac:dyDescent="0.2">
      <c r="A265" s="16" t="s">
        <v>31</v>
      </c>
      <c r="B265" s="17" t="s">
        <v>48</v>
      </c>
      <c r="C265" s="90">
        <v>0.5</v>
      </c>
      <c r="D265" s="81">
        <v>5.0199999999999996</v>
      </c>
      <c r="E265" s="15">
        <f>IFERROR(D265/C265,0)</f>
        <v>10.039999999999999</v>
      </c>
      <c r="G265" s="9"/>
    </row>
    <row r="266" spans="1:7" x14ac:dyDescent="0.2">
      <c r="A266" s="16" t="s">
        <v>61</v>
      </c>
      <c r="B266" s="17" t="s">
        <v>49</v>
      </c>
      <c r="C266" s="90">
        <v>1.5</v>
      </c>
      <c r="D266" s="81">
        <v>10.220000000000001</v>
      </c>
      <c r="E266" s="15">
        <f t="shared" si="1"/>
        <v>6.8133333333333335</v>
      </c>
      <c r="G266" s="9"/>
    </row>
    <row r="267" spans="1:7" ht="13.5" thickBot="1" x14ac:dyDescent="0.25">
      <c r="A267" s="16" t="s">
        <v>191</v>
      </c>
      <c r="B267" s="17" t="s">
        <v>117</v>
      </c>
      <c r="C267" s="65">
        <v>1</v>
      </c>
      <c r="D267" s="81">
        <v>100</v>
      </c>
      <c r="E267" s="18">
        <f>C267*D267</f>
        <v>100</v>
      </c>
      <c r="G267" s="9"/>
    </row>
    <row r="268" spans="1:7" ht="11.25" customHeight="1" thickBot="1" x14ac:dyDescent="0.25">
      <c r="A268" s="16" t="s">
        <v>5</v>
      </c>
      <c r="B268" s="17" t="s">
        <v>6</v>
      </c>
      <c r="C268" s="65">
        <f>E55+E56</f>
        <v>36</v>
      </c>
      <c r="D268" s="18">
        <f>+SUM(E257:E267)</f>
        <v>188.67083333333335</v>
      </c>
      <c r="E268" s="18">
        <f>C268*D268</f>
        <v>6792.1500000000005</v>
      </c>
      <c r="F268" s="113">
        <f>E268*E269</f>
        <v>6792.1500000000005</v>
      </c>
      <c r="G268" s="9"/>
    </row>
    <row r="269" spans="1:7" x14ac:dyDescent="0.2">
      <c r="D269" s="112" t="s">
        <v>188</v>
      </c>
      <c r="E269" s="48">
        <f>$B$70</f>
        <v>1</v>
      </c>
      <c r="G269" s="9"/>
    </row>
    <row r="270" spans="1:7" ht="11.25" customHeight="1" x14ac:dyDescent="0.2">
      <c r="G270" s="9"/>
    </row>
    <row r="271" spans="1:7" x14ac:dyDescent="0.2">
      <c r="A271" s="9" t="s">
        <v>192</v>
      </c>
    </row>
    <row r="272" spans="1:7" ht="11.25" customHeight="1" thickBot="1" x14ac:dyDescent="0.25"/>
    <row r="273" spans="1:7" ht="24.75" thickBot="1" x14ac:dyDescent="0.25">
      <c r="A273" s="56" t="s">
        <v>62</v>
      </c>
      <c r="B273" s="57" t="s">
        <v>63</v>
      </c>
      <c r="C273" s="239" t="s">
        <v>241</v>
      </c>
      <c r="D273" s="58" t="s">
        <v>225</v>
      </c>
      <c r="E273" s="58" t="s">
        <v>64</v>
      </c>
      <c r="F273" s="59" t="s">
        <v>65</v>
      </c>
    </row>
    <row r="274" spans="1:7" x14ac:dyDescent="0.2">
      <c r="A274" s="13" t="s">
        <v>66</v>
      </c>
      <c r="B274" s="14" t="s">
        <v>10</v>
      </c>
      <c r="C274" s="90">
        <v>12</v>
      </c>
      <c r="D274" s="15">
        <f>+D257</f>
        <v>65.52</v>
      </c>
      <c r="E274" s="15">
        <f t="shared" ref="E274:E279" si="2">IFERROR(D274/C274,0)</f>
        <v>5.46</v>
      </c>
    </row>
    <row r="275" spans="1:7" x14ac:dyDescent="0.2">
      <c r="A275" s="16" t="s">
        <v>28</v>
      </c>
      <c r="B275" s="17" t="s">
        <v>10</v>
      </c>
      <c r="C275" s="90">
        <v>2</v>
      </c>
      <c r="D275" s="18">
        <f>+D258</f>
        <v>77.900000000000006</v>
      </c>
      <c r="E275" s="15">
        <f t="shared" si="2"/>
        <v>38.950000000000003</v>
      </c>
    </row>
    <row r="276" spans="1:7" x14ac:dyDescent="0.2">
      <c r="A276" s="16" t="s">
        <v>29</v>
      </c>
      <c r="B276" s="17" t="s">
        <v>10</v>
      </c>
      <c r="C276" s="90">
        <v>6</v>
      </c>
      <c r="D276" s="18">
        <f>+D259</f>
        <v>46.99</v>
      </c>
      <c r="E276" s="15">
        <f t="shared" si="2"/>
        <v>7.831666666666667</v>
      </c>
    </row>
    <row r="277" spans="1:7" x14ac:dyDescent="0.2">
      <c r="A277" s="16" t="s">
        <v>68</v>
      </c>
      <c r="B277" s="17" t="s">
        <v>48</v>
      </c>
      <c r="C277" s="90">
        <v>12</v>
      </c>
      <c r="D277" s="18">
        <f>+D261</f>
        <v>59.9</v>
      </c>
      <c r="E277" s="15">
        <f t="shared" si="2"/>
        <v>4.9916666666666663</v>
      </c>
    </row>
    <row r="278" spans="1:7" x14ac:dyDescent="0.2">
      <c r="A278" s="16" t="s">
        <v>67</v>
      </c>
      <c r="B278" s="17" t="s">
        <v>10</v>
      </c>
      <c r="C278" s="90">
        <v>6</v>
      </c>
      <c r="D278" s="18">
        <f>+D263</f>
        <v>39.659999999999997</v>
      </c>
      <c r="E278" s="15">
        <f t="shared" si="2"/>
        <v>6.6099999999999994</v>
      </c>
    </row>
    <row r="279" spans="1:7" s="49" customFormat="1" ht="11.25" customHeight="1" x14ac:dyDescent="0.2">
      <c r="A279" s="16" t="s">
        <v>61</v>
      </c>
      <c r="B279" s="17" t="s">
        <v>49</v>
      </c>
      <c r="C279" s="90">
        <v>1</v>
      </c>
      <c r="D279" s="18">
        <f>+D266</f>
        <v>10.220000000000001</v>
      </c>
      <c r="E279" s="15">
        <f t="shared" si="2"/>
        <v>10.220000000000001</v>
      </c>
      <c r="F279" s="10"/>
      <c r="G279" s="78"/>
    </row>
    <row r="280" spans="1:7" ht="13.5" thickBot="1" x14ac:dyDescent="0.25">
      <c r="A280" s="16" t="s">
        <v>191</v>
      </c>
      <c r="B280" s="17" t="s">
        <v>117</v>
      </c>
      <c r="C280" s="65">
        <v>1</v>
      </c>
      <c r="D280" s="81">
        <f>D267</f>
        <v>100</v>
      </c>
      <c r="E280" s="18">
        <f>C280*D280</f>
        <v>100</v>
      </c>
    </row>
    <row r="281" spans="1:7" ht="11.25" customHeight="1" thickBot="1" x14ac:dyDescent="0.25">
      <c r="A281" s="16" t="s">
        <v>5</v>
      </c>
      <c r="B281" s="17" t="s">
        <v>6</v>
      </c>
      <c r="C281" s="65">
        <f>E57+E58+E59+E60+E61+E62</f>
        <v>16</v>
      </c>
      <c r="D281" s="18">
        <f>+SUM(E274:E280)</f>
        <v>174.06333333333333</v>
      </c>
      <c r="E281" s="18">
        <f>C281*D281</f>
        <v>2785.0133333333333</v>
      </c>
      <c r="F281" s="113">
        <f>E281*E282</f>
        <v>2785.0133333333333</v>
      </c>
    </row>
    <row r="282" spans="1:7" ht="17.25" customHeight="1" x14ac:dyDescent="0.2">
      <c r="D282" s="112" t="s">
        <v>188</v>
      </c>
      <c r="E282" s="48">
        <f>$B$70</f>
        <v>1</v>
      </c>
    </row>
    <row r="283" spans="1:7" ht="11.25" customHeight="1" thickBot="1" x14ac:dyDescent="0.25"/>
    <row r="284" spans="1:7" ht="13.5" thickBot="1" x14ac:dyDescent="0.25">
      <c r="A284" s="24" t="s">
        <v>193</v>
      </c>
      <c r="B284" s="28"/>
      <c r="C284" s="28"/>
      <c r="D284" s="29"/>
      <c r="E284" s="30"/>
      <c r="F284" s="21">
        <f>+F268+F281</f>
        <v>9577.1633333333339</v>
      </c>
    </row>
    <row r="285" spans="1:7" ht="11.25" customHeight="1" x14ac:dyDescent="0.2"/>
    <row r="286" spans="1:7" x14ac:dyDescent="0.2">
      <c r="A286" s="11" t="s">
        <v>54</v>
      </c>
    </row>
    <row r="287" spans="1:7" x14ac:dyDescent="0.2">
      <c r="B287" s="96"/>
    </row>
    <row r="288" spans="1:7" x14ac:dyDescent="0.2">
      <c r="A288" s="11" t="s">
        <v>569</v>
      </c>
    </row>
    <row r="289" spans="1:9" ht="11.25" customHeight="1" x14ac:dyDescent="0.2">
      <c r="F289" s="20"/>
    </row>
    <row r="290" spans="1:9" ht="13.5" thickBot="1" x14ac:dyDescent="0.25">
      <c r="A290" s="348" t="s">
        <v>46</v>
      </c>
    </row>
    <row r="291" spans="1:9" ht="13.5" thickBot="1" x14ac:dyDescent="0.25">
      <c r="A291" s="56" t="s">
        <v>62</v>
      </c>
      <c r="B291" s="57" t="s">
        <v>63</v>
      </c>
      <c r="C291" s="57" t="s">
        <v>40</v>
      </c>
      <c r="D291" s="58" t="s">
        <v>225</v>
      </c>
      <c r="E291" s="58" t="s">
        <v>64</v>
      </c>
      <c r="F291" s="59" t="s">
        <v>65</v>
      </c>
    </row>
    <row r="292" spans="1:9" ht="11.25" customHeight="1" x14ac:dyDescent="0.2">
      <c r="A292" s="271" t="s">
        <v>568</v>
      </c>
      <c r="B292" s="14" t="s">
        <v>10</v>
      </c>
      <c r="C292" s="14">
        <v>1</v>
      </c>
      <c r="D292" s="81">
        <v>405748</v>
      </c>
      <c r="E292" s="15">
        <f>C292*D292</f>
        <v>405748</v>
      </c>
    </row>
    <row r="293" spans="1:9" ht="15.75" customHeight="1" x14ac:dyDescent="0.2">
      <c r="A293" s="16" t="s">
        <v>98</v>
      </c>
      <c r="B293" s="17" t="s">
        <v>99</v>
      </c>
      <c r="C293" s="80">
        <v>7</v>
      </c>
      <c r="D293" s="77"/>
      <c r="E293" s="18"/>
    </row>
    <row r="294" spans="1:9" ht="12.6" customHeight="1" x14ac:dyDescent="0.2">
      <c r="A294" s="16" t="s">
        <v>200</v>
      </c>
      <c r="B294" s="17" t="s">
        <v>99</v>
      </c>
      <c r="C294" s="80">
        <v>0</v>
      </c>
      <c r="D294" s="18"/>
      <c r="E294" s="18"/>
      <c r="F294" s="20"/>
    </row>
    <row r="295" spans="1:9" x14ac:dyDescent="0.2">
      <c r="A295" s="16" t="s">
        <v>102</v>
      </c>
      <c r="B295" s="17" t="s">
        <v>2</v>
      </c>
      <c r="C295" s="125">
        <f>IFERROR(VLOOKUP(C293,'5. Depreciação'!A3:B17,2,FALSE),0)</f>
        <v>60.29</v>
      </c>
      <c r="D295" s="18">
        <f>E292</f>
        <v>405748</v>
      </c>
      <c r="E295" s="18">
        <f>C295*D295/100</f>
        <v>244625.46919999999</v>
      </c>
    </row>
    <row r="296" spans="1:9" ht="16.149999999999999" customHeight="1" thickBot="1" x14ac:dyDescent="0.25">
      <c r="A296" s="246" t="s">
        <v>50</v>
      </c>
      <c r="B296" s="247" t="s">
        <v>8</v>
      </c>
      <c r="C296" s="247">
        <f>C293*12</f>
        <v>84</v>
      </c>
      <c r="D296" s="248">
        <f>IF(C294&lt;=C293,E295,0)</f>
        <v>244625.46919999999</v>
      </c>
      <c r="E296" s="248">
        <f>IFERROR(D296/C296,0)</f>
        <v>2912.2079666666664</v>
      </c>
    </row>
    <row r="297" spans="1:9" ht="13.5" thickTop="1" x14ac:dyDescent="0.2">
      <c r="A297" s="13" t="s">
        <v>103</v>
      </c>
      <c r="B297" s="14" t="s">
        <v>10</v>
      </c>
      <c r="C297" s="14">
        <f>C292</f>
        <v>1</v>
      </c>
      <c r="D297" s="81">
        <v>202520</v>
      </c>
      <c r="E297" s="15">
        <f>C297*D297</f>
        <v>202520</v>
      </c>
      <c r="I297" s="462"/>
    </row>
    <row r="298" spans="1:9" ht="15" customHeight="1" x14ac:dyDescent="0.2">
      <c r="A298" s="16" t="s">
        <v>100</v>
      </c>
      <c r="B298" s="17" t="s">
        <v>99</v>
      </c>
      <c r="C298" s="80">
        <v>7</v>
      </c>
      <c r="D298" s="18"/>
      <c r="E298" s="18"/>
    </row>
    <row r="299" spans="1:9" ht="13.5" customHeight="1" x14ac:dyDescent="0.2">
      <c r="A299" s="16" t="s">
        <v>201</v>
      </c>
      <c r="B299" s="17" t="s">
        <v>99</v>
      </c>
      <c r="C299" s="80">
        <v>0</v>
      </c>
      <c r="D299" s="18"/>
      <c r="E299" s="18"/>
    </row>
    <row r="300" spans="1:9" s="4" customFormat="1" ht="13.5" customHeight="1" x14ac:dyDescent="0.2">
      <c r="A300" s="16" t="s">
        <v>101</v>
      </c>
      <c r="B300" s="17" t="s">
        <v>2</v>
      </c>
      <c r="C300" s="126">
        <f>IFERROR(VLOOKUP(C298,'5. Depreciação'!A3:B17,2,FALSE),0)</f>
        <v>60.29</v>
      </c>
      <c r="D300" s="18">
        <f>E297</f>
        <v>202520</v>
      </c>
      <c r="E300" s="18">
        <f>C300*D300/100</f>
        <v>122099.308</v>
      </c>
      <c r="F300" s="10"/>
      <c r="G300" s="6"/>
    </row>
    <row r="301" spans="1:9" s="4" customFormat="1" ht="12.75" customHeight="1" x14ac:dyDescent="0.2">
      <c r="A301" s="92" t="s">
        <v>104</v>
      </c>
      <c r="B301" s="93" t="s">
        <v>8</v>
      </c>
      <c r="C301" s="93">
        <f>C298*12</f>
        <v>84</v>
      </c>
      <c r="D301" s="94">
        <f>IF(C299&lt;=C298,E300,0)</f>
        <v>122099.308</v>
      </c>
      <c r="E301" s="94">
        <f>IFERROR(D301/C301,0)</f>
        <v>1453.5631904761906</v>
      </c>
      <c r="F301" s="10"/>
      <c r="G301" s="6"/>
    </row>
    <row r="302" spans="1:9" s="4" customFormat="1" ht="13.5" customHeight="1" thickBot="1" x14ac:dyDescent="0.25">
      <c r="A302" s="106" t="s">
        <v>244</v>
      </c>
      <c r="B302" s="107"/>
      <c r="C302" s="107"/>
      <c r="D302" s="108"/>
      <c r="E302" s="109">
        <f>E296+E301</f>
        <v>4365.7711571428572</v>
      </c>
      <c r="F302" s="10"/>
      <c r="G302" s="6"/>
    </row>
    <row r="303" spans="1:9" ht="13.5" thickBot="1" x14ac:dyDescent="0.25">
      <c r="A303" s="92" t="s">
        <v>245</v>
      </c>
      <c r="B303" s="93" t="s">
        <v>10</v>
      </c>
      <c r="C303" s="80">
        <v>7</v>
      </c>
      <c r="D303" s="94">
        <f>E302</f>
        <v>4365.7711571428572</v>
      </c>
      <c r="E303" s="109">
        <f>C303*D303</f>
        <v>30560.398099999999</v>
      </c>
      <c r="F303" s="21">
        <f>E303*E304</f>
        <v>30560.398099999999</v>
      </c>
      <c r="H303" s="462"/>
    </row>
    <row r="304" spans="1:9" x14ac:dyDescent="0.2">
      <c r="A304" s="244"/>
      <c r="B304" s="244"/>
      <c r="C304" s="244"/>
      <c r="D304" s="112" t="s">
        <v>188</v>
      </c>
      <c r="E304" s="48">
        <f>$B$70</f>
        <v>1</v>
      </c>
    </row>
    <row r="306" spans="1:6" ht="13.5" thickBot="1" x14ac:dyDescent="0.25">
      <c r="A306" s="348" t="s">
        <v>107</v>
      </c>
      <c r="F306" s="20"/>
    </row>
    <row r="307" spans="1:6" ht="13.5" thickBot="1" x14ac:dyDescent="0.25">
      <c r="A307" s="98" t="s">
        <v>62</v>
      </c>
      <c r="B307" s="99" t="s">
        <v>63</v>
      </c>
      <c r="C307" s="99" t="s">
        <v>40</v>
      </c>
      <c r="D307" s="58" t="s">
        <v>225</v>
      </c>
      <c r="E307" s="100" t="s">
        <v>64</v>
      </c>
      <c r="F307" s="59" t="s">
        <v>65</v>
      </c>
    </row>
    <row r="308" spans="1:6" x14ac:dyDescent="0.2">
      <c r="A308" s="290" t="str">
        <f>A292</f>
        <v xml:space="preserve">Custo de aquisição do chassis </v>
      </c>
      <c r="B308" s="17" t="s">
        <v>10</v>
      </c>
      <c r="C308" s="14">
        <v>1</v>
      </c>
      <c r="D308" s="18">
        <f>D292</f>
        <v>405748</v>
      </c>
      <c r="E308" s="18">
        <f>C308*D308</f>
        <v>405748</v>
      </c>
      <c r="F308" s="20"/>
    </row>
    <row r="309" spans="1:6" x14ac:dyDescent="0.2">
      <c r="A309" s="16" t="s">
        <v>204</v>
      </c>
      <c r="B309" s="17" t="s">
        <v>2</v>
      </c>
      <c r="C309" s="80">
        <v>10</v>
      </c>
      <c r="D309" s="18"/>
      <c r="E309" s="18"/>
      <c r="F309" s="20"/>
    </row>
    <row r="310" spans="1:6" x14ac:dyDescent="0.2">
      <c r="A310" s="16" t="s">
        <v>202</v>
      </c>
      <c r="B310" s="17" t="s">
        <v>33</v>
      </c>
      <c r="C310" s="131">
        <f>IFERROR(IF(C294&lt;=C293,E292-(C295/(100*C293)*C294)*E292,E292-E295),0)</f>
        <v>405748</v>
      </c>
      <c r="D310" s="18"/>
      <c r="E310" s="18"/>
      <c r="F310" s="20"/>
    </row>
    <row r="311" spans="1:6" x14ac:dyDescent="0.2">
      <c r="A311" s="16" t="s">
        <v>110</v>
      </c>
      <c r="B311" s="17" t="s">
        <v>33</v>
      </c>
      <c r="C311" s="77">
        <f>IFERROR(IF(C294&gt;=C293,C310,((((C310)-(E292-E295))*(((C293-C294)+1)/(2*(C293-C294))))+(E292-E295))),0)</f>
        <v>300908.51319999999</v>
      </c>
      <c r="D311" s="18"/>
      <c r="E311" s="18"/>
      <c r="F311" s="20"/>
    </row>
    <row r="312" spans="1:6" ht="13.5" thickBot="1" x14ac:dyDescent="0.25">
      <c r="A312" s="246" t="s">
        <v>111</v>
      </c>
      <c r="B312" s="247" t="s">
        <v>33</v>
      </c>
      <c r="C312" s="247"/>
      <c r="D312" s="249">
        <f>C309*C311/12/100</f>
        <v>2507.5709433333332</v>
      </c>
      <c r="E312" s="248">
        <f>D312</f>
        <v>2507.5709433333332</v>
      </c>
      <c r="F312" s="20"/>
    </row>
    <row r="313" spans="1:6" ht="13.5" thickTop="1" x14ac:dyDescent="0.2">
      <c r="A313" s="13" t="str">
        <f>A297</f>
        <v>Custo de aquisição do compactador</v>
      </c>
      <c r="B313" s="14" t="s">
        <v>10</v>
      </c>
      <c r="C313" s="14">
        <f>C297</f>
        <v>1</v>
      </c>
      <c r="D313" s="15">
        <f>D297</f>
        <v>202520</v>
      </c>
      <c r="E313" s="15">
        <f>C313*D313</f>
        <v>202520</v>
      </c>
      <c r="F313" s="20"/>
    </row>
    <row r="314" spans="1:6" x14ac:dyDescent="0.2">
      <c r="A314" s="16" t="s">
        <v>204</v>
      </c>
      <c r="B314" s="17" t="s">
        <v>2</v>
      </c>
      <c r="C314" s="17">
        <f>C309</f>
        <v>10</v>
      </c>
      <c r="D314" s="18"/>
      <c r="E314" s="18"/>
      <c r="F314" s="20"/>
    </row>
    <row r="315" spans="1:6" x14ac:dyDescent="0.2">
      <c r="A315" s="16" t="s">
        <v>203</v>
      </c>
      <c r="B315" s="17" t="s">
        <v>33</v>
      </c>
      <c r="C315" s="131">
        <f>IFERROR(IF(C299&lt;=C298,E297-(C300/(100*C298)*C299)*E297,E297-E300),0)</f>
        <v>202520</v>
      </c>
      <c r="D315" s="18"/>
      <c r="E315" s="18"/>
    </row>
    <row r="316" spans="1:6" x14ac:dyDescent="0.2">
      <c r="A316" s="16" t="s">
        <v>112</v>
      </c>
      <c r="B316" s="17" t="s">
        <v>33</v>
      </c>
      <c r="C316" s="77">
        <f>IFERROR(IF(C299&gt;=C298,C315,((((C315)-(E297-E300))*(((C298-C299)+1)/(2*(C298-C299))))+(E297-E300))),0)</f>
        <v>150191.72514285712</v>
      </c>
      <c r="D316" s="18"/>
      <c r="E316" s="18"/>
    </row>
    <row r="317" spans="1:6" x14ac:dyDescent="0.2">
      <c r="A317" s="92" t="s">
        <v>109</v>
      </c>
      <c r="B317" s="93" t="s">
        <v>33</v>
      </c>
      <c r="C317" s="93"/>
      <c r="D317" s="102">
        <f>C314*C316/12/100</f>
        <v>1251.5977095238093</v>
      </c>
      <c r="E317" s="94">
        <f>D317</f>
        <v>1251.5977095238093</v>
      </c>
    </row>
    <row r="318" spans="1:6" ht="13.5" thickBot="1" x14ac:dyDescent="0.25">
      <c r="A318" s="106" t="s">
        <v>244</v>
      </c>
      <c r="B318" s="107"/>
      <c r="C318" s="107"/>
      <c r="D318" s="108"/>
      <c r="E318" s="109">
        <f>E312+E317</f>
        <v>3759.1686528571427</v>
      </c>
    </row>
    <row r="319" spans="1:6" ht="13.5" thickBot="1" x14ac:dyDescent="0.25">
      <c r="A319" s="92" t="s">
        <v>245</v>
      </c>
      <c r="B319" s="93" t="s">
        <v>10</v>
      </c>
      <c r="C319" s="17">
        <f>C303</f>
        <v>7</v>
      </c>
      <c r="D319" s="94">
        <f>E318</f>
        <v>3759.1686528571427</v>
      </c>
      <c r="E319" s="109">
        <f>C319*D319</f>
        <v>26314.180569999997</v>
      </c>
      <c r="F319" s="21">
        <f>E319*E320</f>
        <v>26314.180569999997</v>
      </c>
    </row>
    <row r="320" spans="1:6" x14ac:dyDescent="0.2">
      <c r="C320" s="19"/>
      <c r="D320" s="112" t="s">
        <v>188</v>
      </c>
      <c r="E320" s="48">
        <f>$B$70</f>
        <v>1</v>
      </c>
    </row>
    <row r="322" spans="1:6" ht="13.5" thickBot="1" x14ac:dyDescent="0.25">
      <c r="A322" s="9" t="s">
        <v>51</v>
      </c>
    </row>
    <row r="323" spans="1:6" ht="13.5" thickBot="1" x14ac:dyDescent="0.25">
      <c r="A323" s="56" t="s">
        <v>62</v>
      </c>
      <c r="B323" s="57" t="s">
        <v>63</v>
      </c>
      <c r="C323" s="57" t="s">
        <v>40</v>
      </c>
      <c r="D323" s="58" t="s">
        <v>225</v>
      </c>
      <c r="E323" s="58" t="s">
        <v>64</v>
      </c>
      <c r="F323" s="59" t="s">
        <v>65</v>
      </c>
    </row>
    <row r="324" spans="1:6" x14ac:dyDescent="0.2">
      <c r="A324" s="13" t="s">
        <v>12</v>
      </c>
      <c r="B324" s="14" t="s">
        <v>10</v>
      </c>
      <c r="C324" s="15">
        <f>C303</f>
        <v>7</v>
      </c>
      <c r="D324" s="15">
        <v>4057</v>
      </c>
      <c r="E324" s="15">
        <f>C324*D324</f>
        <v>28399</v>
      </c>
    </row>
    <row r="325" spans="1:6" x14ac:dyDescent="0.2">
      <c r="A325" s="16" t="s">
        <v>187</v>
      </c>
      <c r="B325" s="17" t="s">
        <v>10</v>
      </c>
      <c r="C325" s="15">
        <f>C303</f>
        <v>7</v>
      </c>
      <c r="D325" s="83">
        <v>94.1</v>
      </c>
      <c r="E325" s="18">
        <f>C325*D325</f>
        <v>658.69999999999993</v>
      </c>
    </row>
    <row r="326" spans="1:6" x14ac:dyDescent="0.2">
      <c r="A326" s="16" t="s">
        <v>13</v>
      </c>
      <c r="B326" s="17" t="s">
        <v>10</v>
      </c>
      <c r="C326" s="15">
        <f>C303</f>
        <v>7</v>
      </c>
      <c r="D326" s="83">
        <v>3457</v>
      </c>
      <c r="E326" s="18">
        <f>C326*D326</f>
        <v>24199</v>
      </c>
    </row>
    <row r="327" spans="1:6" ht="13.5" thickBot="1" x14ac:dyDescent="0.25">
      <c r="A327" s="290" t="s">
        <v>341</v>
      </c>
      <c r="B327" s="17"/>
      <c r="C327" s="15"/>
      <c r="D327" s="77">
        <f>SUM(D324:D326)</f>
        <v>7608.1</v>
      </c>
      <c r="E327" s="18">
        <f>SUM(E324:E326)</f>
        <v>53256.7</v>
      </c>
    </row>
    <row r="328" spans="1:6" ht="13.5" thickBot="1" x14ac:dyDescent="0.25">
      <c r="A328" s="92" t="s">
        <v>14</v>
      </c>
      <c r="B328" s="93" t="s">
        <v>8</v>
      </c>
      <c r="C328" s="93">
        <v>12</v>
      </c>
      <c r="D328" s="94">
        <f>SUM(E324:E326)</f>
        <v>53256.7</v>
      </c>
      <c r="E328" s="94">
        <f>D328/C328</f>
        <v>4438.0583333333334</v>
      </c>
      <c r="F328" s="113">
        <f>E328*E329</f>
        <v>4438.0583333333334</v>
      </c>
    </row>
    <row r="329" spans="1:6" x14ac:dyDescent="0.2">
      <c r="D329" s="112" t="s">
        <v>188</v>
      </c>
      <c r="E329" s="48">
        <f>$B$70</f>
        <v>1</v>
      </c>
    </row>
    <row r="330" spans="1:6" x14ac:dyDescent="0.2">
      <c r="A330" s="340" t="s">
        <v>610</v>
      </c>
      <c r="B330" s="515" t="s">
        <v>611</v>
      </c>
      <c r="C330" s="516">
        <v>4057</v>
      </c>
    </row>
    <row r="331" spans="1:6" x14ac:dyDescent="0.2">
      <c r="A331" s="305"/>
      <c r="B331" s="305"/>
      <c r="C331" s="305"/>
      <c r="F331" s="338"/>
    </row>
    <row r="332" spans="1:6" x14ac:dyDescent="0.2">
      <c r="A332" s="9" t="s">
        <v>52</v>
      </c>
      <c r="B332" s="31"/>
    </row>
    <row r="333" spans="1:6" x14ac:dyDescent="0.2">
      <c r="B333" s="31"/>
    </row>
    <row r="334" spans="1:6" x14ac:dyDescent="0.2">
      <c r="A334" s="92" t="s">
        <v>114</v>
      </c>
      <c r="B334" s="103">
        <v>23382</v>
      </c>
      <c r="C334" s="7" t="s">
        <v>342</v>
      </c>
    </row>
    <row r="335" spans="1:6" ht="13.5" thickBot="1" x14ac:dyDescent="0.25">
      <c r="B335" s="31"/>
    </row>
    <row r="336" spans="1:6" ht="13.5" thickBot="1" x14ac:dyDescent="0.25">
      <c r="A336" s="56" t="s">
        <v>62</v>
      </c>
      <c r="B336" s="57" t="s">
        <v>63</v>
      </c>
      <c r="C336" s="57" t="s">
        <v>243</v>
      </c>
      <c r="D336" s="58" t="s">
        <v>225</v>
      </c>
      <c r="E336" s="58" t="s">
        <v>64</v>
      </c>
      <c r="F336" s="59" t="s">
        <v>378</v>
      </c>
    </row>
    <row r="337" spans="1:6" x14ac:dyDescent="0.2">
      <c r="A337" s="13" t="s">
        <v>15</v>
      </c>
      <c r="B337" s="14" t="s">
        <v>16</v>
      </c>
      <c r="C337" s="87">
        <v>2</v>
      </c>
      <c r="D337" s="88">
        <v>5.55</v>
      </c>
      <c r="E337" s="15"/>
    </row>
    <row r="338" spans="1:6" x14ac:dyDescent="0.2">
      <c r="A338" s="16" t="s">
        <v>17</v>
      </c>
      <c r="B338" s="17" t="s">
        <v>18</v>
      </c>
      <c r="C338" s="86">
        <f>B334</f>
        <v>23382</v>
      </c>
      <c r="D338" s="243">
        <f>IFERROR(+D337/C337,"-")</f>
        <v>2.7749999999999999</v>
      </c>
      <c r="E338" s="18">
        <f>IFERROR(C338*D338,"-")</f>
        <v>64885.049999999996</v>
      </c>
    </row>
    <row r="339" spans="1:6" x14ac:dyDescent="0.2">
      <c r="A339" s="16" t="s">
        <v>226</v>
      </c>
      <c r="B339" s="17" t="s">
        <v>19</v>
      </c>
      <c r="C339" s="89">
        <v>2</v>
      </c>
      <c r="D339" s="83">
        <v>29.17</v>
      </c>
      <c r="E339" s="18"/>
    </row>
    <row r="340" spans="1:6" x14ac:dyDescent="0.2">
      <c r="A340" s="16" t="s">
        <v>20</v>
      </c>
      <c r="B340" s="17" t="s">
        <v>18</v>
      </c>
      <c r="C340" s="86">
        <f>C338</f>
        <v>23382</v>
      </c>
      <c r="D340" s="240">
        <f>+C339*D339/1000</f>
        <v>5.8340000000000003E-2</v>
      </c>
      <c r="E340" s="18">
        <f>C340*D340</f>
        <v>1364.1058800000001</v>
      </c>
    </row>
    <row r="341" spans="1:6" x14ac:dyDescent="0.2">
      <c r="A341" s="16" t="s">
        <v>227</v>
      </c>
      <c r="B341" s="17" t="s">
        <v>19</v>
      </c>
      <c r="C341" s="89">
        <v>0.66</v>
      </c>
      <c r="D341" s="83">
        <v>57.36</v>
      </c>
      <c r="E341" s="18"/>
    </row>
    <row r="342" spans="1:6" x14ac:dyDescent="0.2">
      <c r="A342" s="16" t="s">
        <v>21</v>
      </c>
      <c r="B342" s="17" t="s">
        <v>18</v>
      </c>
      <c r="C342" s="86">
        <f>C338</f>
        <v>23382</v>
      </c>
      <c r="D342" s="240">
        <f>+C341*D341/1000</f>
        <v>3.7857599999999998E-2</v>
      </c>
      <c r="E342" s="18">
        <f>C342*D342</f>
        <v>885.18640319999997</v>
      </c>
    </row>
    <row r="343" spans="1:6" x14ac:dyDescent="0.2">
      <c r="A343" s="16" t="s">
        <v>228</v>
      </c>
      <c r="B343" s="17" t="s">
        <v>19</v>
      </c>
      <c r="C343" s="89">
        <v>3.48</v>
      </c>
      <c r="D343" s="83">
        <v>36.99</v>
      </c>
      <c r="E343" s="18"/>
    </row>
    <row r="344" spans="1:6" x14ac:dyDescent="0.2">
      <c r="A344" s="16" t="s">
        <v>22</v>
      </c>
      <c r="B344" s="17" t="s">
        <v>18</v>
      </c>
      <c r="C344" s="86">
        <f>C338</f>
        <v>23382</v>
      </c>
      <c r="D344" s="240">
        <f>+C343*D343/1000</f>
        <v>0.12872520000000001</v>
      </c>
      <c r="E344" s="18">
        <f>C344*D344</f>
        <v>3009.8526264000002</v>
      </c>
    </row>
    <row r="345" spans="1:6" x14ac:dyDescent="0.2">
      <c r="A345" s="16" t="s">
        <v>23</v>
      </c>
      <c r="B345" s="17" t="s">
        <v>24</v>
      </c>
      <c r="C345" s="89">
        <v>2</v>
      </c>
      <c r="D345" s="83">
        <v>18.329999999999998</v>
      </c>
      <c r="E345" s="18"/>
    </row>
    <row r="346" spans="1:6" ht="13.5" thickBot="1" x14ac:dyDescent="0.25">
      <c r="A346" s="16" t="s">
        <v>25</v>
      </c>
      <c r="B346" s="17" t="s">
        <v>18</v>
      </c>
      <c r="C346" s="86">
        <f>C338</f>
        <v>23382</v>
      </c>
      <c r="D346" s="240">
        <f>+C345*D345/1000</f>
        <v>3.6659999999999998E-2</v>
      </c>
      <c r="E346" s="18">
        <f>C346*D346</f>
        <v>857.18412000000001</v>
      </c>
    </row>
    <row r="347" spans="1:6" ht="13.5" thickBot="1" x14ac:dyDescent="0.25">
      <c r="A347" s="92" t="s">
        <v>242</v>
      </c>
      <c r="B347" s="93" t="s">
        <v>115</v>
      </c>
      <c r="C347" s="241"/>
      <c r="D347" s="242">
        <f>SUM(E338+E340+E342+E344+E346)/$B$334</f>
        <v>3.0365827999999997</v>
      </c>
      <c r="E347" s="18"/>
      <c r="F347" s="21">
        <f>SUM(E337:E346)</f>
        <v>71001.379029599993</v>
      </c>
    </row>
    <row r="350" spans="1:6" ht="13.5" thickBot="1" x14ac:dyDescent="0.25">
      <c r="A350" s="9" t="s">
        <v>53</v>
      </c>
    </row>
    <row r="351" spans="1:6" ht="13.5" thickBot="1" x14ac:dyDescent="0.25">
      <c r="A351" s="56" t="s">
        <v>62</v>
      </c>
      <c r="B351" s="57" t="s">
        <v>63</v>
      </c>
      <c r="C351" s="57" t="s">
        <v>40</v>
      </c>
      <c r="D351" s="58" t="s">
        <v>225</v>
      </c>
      <c r="E351" s="58" t="s">
        <v>64</v>
      </c>
      <c r="F351" s="59" t="s">
        <v>65</v>
      </c>
    </row>
    <row r="352" spans="1:6" ht="13.5" thickBot="1" x14ac:dyDescent="0.25">
      <c r="A352" s="13" t="s">
        <v>113</v>
      </c>
      <c r="B352" s="14" t="s">
        <v>115</v>
      </c>
      <c r="C352" s="86">
        <f>C338</f>
        <v>23382</v>
      </c>
      <c r="D352" s="81">
        <v>0.92</v>
      </c>
      <c r="E352" s="15">
        <f>C352*D352</f>
        <v>21511.440000000002</v>
      </c>
      <c r="F352" s="21">
        <f>E352</f>
        <v>21511.440000000002</v>
      </c>
    </row>
    <row r="355" spans="1:13" ht="13.5" thickBot="1" x14ac:dyDescent="0.25">
      <c r="A355" s="9" t="s">
        <v>60</v>
      </c>
    </row>
    <row r="356" spans="1:13" ht="13.5" thickBot="1" x14ac:dyDescent="0.25">
      <c r="A356" s="56" t="s">
        <v>62</v>
      </c>
      <c r="B356" s="57" t="s">
        <v>63</v>
      </c>
      <c r="C356" s="57" t="s">
        <v>40</v>
      </c>
      <c r="D356" s="58" t="s">
        <v>225</v>
      </c>
      <c r="E356" s="58" t="s">
        <v>64</v>
      </c>
      <c r="F356" s="59" t="s">
        <v>65</v>
      </c>
      <c r="G356" s="9"/>
      <c r="I356" s="19"/>
      <c r="J356" s="20"/>
      <c r="K356" s="20"/>
      <c r="L356" s="352"/>
      <c r="M356" s="10"/>
    </row>
    <row r="357" spans="1:13" x14ac:dyDescent="0.2">
      <c r="A357" s="271" t="s">
        <v>343</v>
      </c>
      <c r="B357" s="14" t="s">
        <v>10</v>
      </c>
      <c r="C357" s="370">
        <v>6</v>
      </c>
      <c r="D357" s="81">
        <v>1980.22</v>
      </c>
      <c r="E357" s="15">
        <f>C357*D357</f>
        <v>11881.32</v>
      </c>
      <c r="G357" s="9"/>
      <c r="I357" s="19"/>
      <c r="J357" s="20"/>
      <c r="K357" s="20"/>
      <c r="L357" s="352"/>
      <c r="M357" s="10"/>
    </row>
    <row r="358" spans="1:13" x14ac:dyDescent="0.2">
      <c r="A358" s="13" t="s">
        <v>116</v>
      </c>
      <c r="B358" s="14" t="s">
        <v>10</v>
      </c>
      <c r="C358" s="370">
        <v>1</v>
      </c>
      <c r="D358" s="95"/>
      <c r="E358" s="15"/>
      <c r="G358" s="9"/>
      <c r="I358" s="19"/>
      <c r="J358" s="20"/>
      <c r="K358" s="20"/>
      <c r="L358" s="352"/>
      <c r="M358" s="10"/>
    </row>
    <row r="359" spans="1:13" x14ac:dyDescent="0.2">
      <c r="A359" s="13" t="s">
        <v>69</v>
      </c>
      <c r="B359" s="14" t="s">
        <v>10</v>
      </c>
      <c r="C359" s="371">
        <f>C357*C358</f>
        <v>6</v>
      </c>
      <c r="D359" s="81">
        <v>618.78</v>
      </c>
      <c r="E359" s="15">
        <f>C359*D359</f>
        <v>3712.68</v>
      </c>
      <c r="G359" s="9"/>
      <c r="I359" s="19"/>
      <c r="J359" s="20"/>
      <c r="K359" s="20"/>
      <c r="L359" s="352"/>
      <c r="M359" s="10"/>
    </row>
    <row r="360" spans="1:13" ht="13.5" thickBot="1" x14ac:dyDescent="0.25">
      <c r="A360" s="290" t="s">
        <v>344</v>
      </c>
      <c r="B360" s="17" t="s">
        <v>26</v>
      </c>
      <c r="C360" s="372">
        <v>60000</v>
      </c>
      <c r="D360" s="18">
        <f>E357+E359</f>
        <v>15594</v>
      </c>
      <c r="E360" s="18">
        <f>IFERROR(D360/C360,"-")</f>
        <v>0.25990000000000002</v>
      </c>
      <c r="G360" s="9"/>
      <c r="I360" s="19"/>
      <c r="J360" s="20"/>
      <c r="K360" s="20"/>
      <c r="L360" s="352"/>
      <c r="M360" s="10"/>
    </row>
    <row r="361" spans="1:13" ht="13.5" thickBot="1" x14ac:dyDescent="0.25">
      <c r="A361" s="16" t="s">
        <v>55</v>
      </c>
      <c r="B361" s="17" t="s">
        <v>18</v>
      </c>
      <c r="C361" s="373">
        <f>B334</f>
        <v>23382</v>
      </c>
      <c r="D361" s="18">
        <f>E360</f>
        <v>0.25990000000000002</v>
      </c>
      <c r="E361" s="18">
        <f>IFERROR(C361*D361,0)</f>
        <v>6076.9818000000005</v>
      </c>
      <c r="F361" s="21">
        <f>E361</f>
        <v>6076.9818000000005</v>
      </c>
      <c r="G361" s="9"/>
      <c r="I361" s="19"/>
      <c r="J361" s="20"/>
      <c r="K361" s="20"/>
      <c r="L361" s="352"/>
      <c r="M361" s="10"/>
    </row>
    <row r="362" spans="1:13" x14ac:dyDescent="0.2">
      <c r="G362" s="9"/>
      <c r="I362" s="19"/>
      <c r="J362" s="20"/>
      <c r="K362" s="20"/>
      <c r="L362" s="352"/>
      <c r="M362" s="10"/>
    </row>
    <row r="363" spans="1:13" x14ac:dyDescent="0.2">
      <c r="A363" s="11" t="s">
        <v>566</v>
      </c>
      <c r="F363" s="32"/>
    </row>
    <row r="364" spans="1:13" x14ac:dyDescent="0.2">
      <c r="A364" s="7"/>
      <c r="F364" s="32"/>
    </row>
    <row r="365" spans="1:13" ht="13.5" thickBot="1" x14ac:dyDescent="0.25">
      <c r="A365" s="342" t="s">
        <v>345</v>
      </c>
      <c r="F365" s="32"/>
    </row>
    <row r="366" spans="1:13" ht="13.5" thickBot="1" x14ac:dyDescent="0.25">
      <c r="A366" s="56" t="s">
        <v>62</v>
      </c>
      <c r="B366" s="57" t="s">
        <v>63</v>
      </c>
      <c r="C366" s="99" t="s">
        <v>40</v>
      </c>
      <c r="D366" s="100" t="s">
        <v>225</v>
      </c>
      <c r="E366" s="100" t="s">
        <v>64</v>
      </c>
      <c r="F366" s="59" t="s">
        <v>65</v>
      </c>
    </row>
    <row r="367" spans="1:13" x14ac:dyDescent="0.2">
      <c r="A367" s="343" t="s">
        <v>346</v>
      </c>
      <c r="B367" s="14" t="s">
        <v>10</v>
      </c>
      <c r="C367" s="17">
        <v>1</v>
      </c>
      <c r="D367" s="18">
        <v>74236</v>
      </c>
      <c r="E367" s="18">
        <f>C367*D367</f>
        <v>74236</v>
      </c>
      <c r="F367" s="32"/>
    </row>
    <row r="368" spans="1:13" x14ac:dyDescent="0.2">
      <c r="A368" s="344" t="s">
        <v>98</v>
      </c>
      <c r="B368" s="17" t="s">
        <v>99</v>
      </c>
      <c r="C368" s="17">
        <v>10</v>
      </c>
      <c r="D368" s="18"/>
      <c r="E368" s="18"/>
      <c r="F368" s="32"/>
    </row>
    <row r="369" spans="1:6" x14ac:dyDescent="0.2">
      <c r="A369" s="344" t="s">
        <v>200</v>
      </c>
      <c r="B369" s="17" t="s">
        <v>99</v>
      </c>
      <c r="C369" s="17">
        <v>1</v>
      </c>
      <c r="D369" s="18"/>
      <c r="E369" s="18"/>
      <c r="F369" s="347"/>
    </row>
    <row r="370" spans="1:6" x14ac:dyDescent="0.2">
      <c r="A370" s="344" t="s">
        <v>102</v>
      </c>
      <c r="B370" s="17" t="s">
        <v>2</v>
      </c>
      <c r="C370" s="17">
        <v>50</v>
      </c>
      <c r="D370" s="18">
        <f>D367</f>
        <v>74236</v>
      </c>
      <c r="E370" s="18">
        <f>C370*D370/100</f>
        <v>37118</v>
      </c>
      <c r="F370" s="32"/>
    </row>
    <row r="371" spans="1:6" ht="13.5" thickBot="1" x14ac:dyDescent="0.25">
      <c r="A371" s="345" t="s">
        <v>50</v>
      </c>
      <c r="B371" s="247" t="s">
        <v>8</v>
      </c>
      <c r="C371" s="17">
        <v>120</v>
      </c>
      <c r="D371" s="18">
        <f>E370</f>
        <v>37118</v>
      </c>
      <c r="E371" s="18">
        <f>IFERROR(D371/C371,0)</f>
        <v>309.31666666666666</v>
      </c>
      <c r="F371" s="32"/>
    </row>
    <row r="372" spans="1:6" ht="14.25" thickTop="1" thickBot="1" x14ac:dyDescent="0.25">
      <c r="A372" s="325" t="s">
        <v>507</v>
      </c>
      <c r="B372" s="295" t="s">
        <v>63</v>
      </c>
      <c r="C372" s="19">
        <v>1</v>
      </c>
      <c r="D372" s="20">
        <f>E371</f>
        <v>309.31666666666666</v>
      </c>
      <c r="E372" s="20">
        <f>C372*D372</f>
        <v>309.31666666666666</v>
      </c>
      <c r="F372" s="346">
        <f>E372*E373</f>
        <v>309.31666666666666</v>
      </c>
    </row>
    <row r="373" spans="1:6" x14ac:dyDescent="0.2">
      <c r="D373" s="112" t="s">
        <v>188</v>
      </c>
      <c r="E373" s="48">
        <f>$B$70</f>
        <v>1</v>
      </c>
    </row>
    <row r="374" spans="1:6" x14ac:dyDescent="0.2">
      <c r="C374" s="19"/>
      <c r="D374" s="20"/>
      <c r="E374" s="20"/>
    </row>
    <row r="375" spans="1:6" ht="13.5" thickBot="1" x14ac:dyDescent="0.25">
      <c r="A375" s="342" t="s">
        <v>347</v>
      </c>
      <c r="C375" s="19"/>
      <c r="D375" s="20"/>
      <c r="E375" s="20"/>
    </row>
    <row r="376" spans="1:6" ht="13.5" thickBot="1" x14ac:dyDescent="0.25">
      <c r="A376" s="98" t="s">
        <v>62</v>
      </c>
      <c r="B376" s="99" t="s">
        <v>63</v>
      </c>
      <c r="C376" s="99" t="s">
        <v>40</v>
      </c>
      <c r="D376" s="58" t="s">
        <v>225</v>
      </c>
      <c r="E376" s="100" t="s">
        <v>64</v>
      </c>
      <c r="F376" s="59" t="s">
        <v>65</v>
      </c>
    </row>
    <row r="377" spans="1:6" x14ac:dyDescent="0.2">
      <c r="A377" s="290" t="s">
        <v>567</v>
      </c>
      <c r="B377" s="17" t="s">
        <v>10</v>
      </c>
      <c r="C377" s="16">
        <v>1</v>
      </c>
      <c r="D377" s="350">
        <f>$D$367</f>
        <v>74236</v>
      </c>
      <c r="E377" s="16"/>
      <c r="F377" s="9"/>
    </row>
    <row r="378" spans="1:6" x14ac:dyDescent="0.2">
      <c r="A378" s="16" t="s">
        <v>204</v>
      </c>
      <c r="B378" s="17" t="s">
        <v>2</v>
      </c>
      <c r="C378" s="16">
        <f>C309</f>
        <v>10</v>
      </c>
      <c r="D378" s="350"/>
      <c r="E378" s="16"/>
      <c r="F378" s="9"/>
    </row>
    <row r="379" spans="1:6" x14ac:dyDescent="0.2">
      <c r="A379" s="16" t="s">
        <v>202</v>
      </c>
      <c r="B379" s="17" t="s">
        <v>33</v>
      </c>
      <c r="C379" s="349">
        <f>IFERROR(IF(C369&lt;=C368,E367-(C370/(100*C368)*C369)*E367,E367-E370),0)</f>
        <v>70524.2</v>
      </c>
      <c r="D379" s="350"/>
      <c r="E379" s="16"/>
      <c r="F379" s="9"/>
    </row>
    <row r="380" spans="1:6" x14ac:dyDescent="0.2">
      <c r="A380" s="16" t="s">
        <v>110</v>
      </c>
      <c r="B380" s="17" t="s">
        <v>33</v>
      </c>
      <c r="C380" s="513">
        <f>IFERROR(IF(C369&gt;=C368,C379,((((C379)-(E367-E370))*(((C368-C369)+1)/(2*(C368-C369))))+(E367-E370))),0)</f>
        <v>55677</v>
      </c>
      <c r="D380" s="350"/>
      <c r="E380" s="16"/>
      <c r="F380" s="9"/>
    </row>
    <row r="381" spans="1:6" ht="13.5" thickBot="1" x14ac:dyDescent="0.25">
      <c r="A381" s="246" t="s">
        <v>387</v>
      </c>
      <c r="B381" s="247" t="s">
        <v>33</v>
      </c>
      <c r="C381" s="16"/>
      <c r="D381" s="350">
        <f>C378*C380/12/100</f>
        <v>463.97500000000002</v>
      </c>
      <c r="E381" s="351">
        <f>D381</f>
        <v>463.97500000000002</v>
      </c>
    </row>
    <row r="382" spans="1:6" ht="14.25" thickTop="1" thickBot="1" x14ac:dyDescent="0.25">
      <c r="A382" s="92" t="s">
        <v>388</v>
      </c>
      <c r="B382" s="93" t="s">
        <v>10</v>
      </c>
      <c r="C382" s="16">
        <f>$C$372</f>
        <v>1</v>
      </c>
      <c r="D382" s="350">
        <f>E381</f>
        <v>463.97500000000002</v>
      </c>
      <c r="E382" s="351">
        <f>C382*D382</f>
        <v>463.97500000000002</v>
      </c>
      <c r="F382" s="354">
        <f>$E$382*E383</f>
        <v>463.97500000000002</v>
      </c>
    </row>
    <row r="383" spans="1:6" x14ac:dyDescent="0.2">
      <c r="C383" s="19"/>
      <c r="D383" s="112" t="s">
        <v>188</v>
      </c>
      <c r="E383" s="353">
        <f>$B$70</f>
        <v>1</v>
      </c>
      <c r="F383" s="55"/>
    </row>
    <row r="384" spans="1:6" x14ac:dyDescent="0.2">
      <c r="C384" s="19"/>
      <c r="D384" s="20"/>
      <c r="E384" s="20"/>
    </row>
    <row r="385" spans="1:6" ht="13.5" thickBot="1" x14ac:dyDescent="0.25">
      <c r="A385" s="342" t="s">
        <v>314</v>
      </c>
      <c r="D385" s="20"/>
      <c r="E385" s="20"/>
      <c r="F385" s="352"/>
    </row>
    <row r="386" spans="1:6" ht="13.5" thickBot="1" x14ac:dyDescent="0.25">
      <c r="A386" s="98" t="s">
        <v>62</v>
      </c>
      <c r="B386" s="99" t="s">
        <v>63</v>
      </c>
      <c r="C386" s="99" t="s">
        <v>40</v>
      </c>
      <c r="D386" s="58" t="s">
        <v>225</v>
      </c>
      <c r="E386" s="100" t="s">
        <v>64</v>
      </c>
      <c r="F386" s="59" t="s">
        <v>65</v>
      </c>
    </row>
    <row r="387" spans="1:6" x14ac:dyDescent="0.2">
      <c r="A387" s="13" t="s">
        <v>12</v>
      </c>
      <c r="B387" s="14" t="s">
        <v>10</v>
      </c>
      <c r="C387" s="355">
        <v>1</v>
      </c>
      <c r="D387" s="20">
        <f>0.03*E367</f>
        <v>2227.08</v>
      </c>
      <c r="E387" s="20"/>
      <c r="F387" s="352"/>
    </row>
    <row r="388" spans="1:6" x14ac:dyDescent="0.2">
      <c r="A388" s="16" t="s">
        <v>187</v>
      </c>
      <c r="B388" s="17" t="s">
        <v>10</v>
      </c>
      <c r="C388" s="355"/>
      <c r="D388" s="20">
        <v>94.1</v>
      </c>
      <c r="E388" s="20"/>
      <c r="F388" s="352"/>
    </row>
    <row r="389" spans="1:6" x14ac:dyDescent="0.2">
      <c r="A389" s="16" t="s">
        <v>13</v>
      </c>
      <c r="B389" s="17" t="s">
        <v>10</v>
      </c>
      <c r="C389" s="355"/>
      <c r="D389" s="20">
        <v>2200</v>
      </c>
      <c r="E389" s="20"/>
      <c r="F389" s="32"/>
    </row>
    <row r="390" spans="1:6" ht="13.5" thickBot="1" x14ac:dyDescent="0.25">
      <c r="A390" s="290" t="s">
        <v>341</v>
      </c>
      <c r="B390" s="17"/>
      <c r="C390" s="355"/>
      <c r="E390" s="20"/>
      <c r="F390" s="32"/>
    </row>
    <row r="391" spans="1:6" ht="13.5" thickBot="1" x14ac:dyDescent="0.25">
      <c r="A391" s="92" t="s">
        <v>14</v>
      </c>
      <c r="B391" s="93" t="s">
        <v>8</v>
      </c>
      <c r="C391" s="356">
        <v>12</v>
      </c>
      <c r="D391" s="20">
        <f>SUM(D387:D389)</f>
        <v>4521.18</v>
      </c>
      <c r="E391" s="20">
        <f>D391/C391</f>
        <v>376.76500000000004</v>
      </c>
      <c r="F391" s="346">
        <f>E391*E392</f>
        <v>376.76500000000004</v>
      </c>
    </row>
    <row r="392" spans="1:6" x14ac:dyDescent="0.2">
      <c r="D392" s="112" t="s">
        <v>188</v>
      </c>
      <c r="E392" s="48">
        <f>$B$70</f>
        <v>1</v>
      </c>
    </row>
    <row r="394" spans="1:6" x14ac:dyDescent="0.2">
      <c r="A394" s="342" t="s">
        <v>315</v>
      </c>
      <c r="F394" s="32"/>
    </row>
    <row r="395" spans="1:6" x14ac:dyDescent="0.2">
      <c r="A395" s="342"/>
      <c r="F395" s="32"/>
    </row>
    <row r="396" spans="1:6" ht="13.5" thickBot="1" x14ac:dyDescent="0.25">
      <c r="A396" s="92" t="s">
        <v>114</v>
      </c>
      <c r="B396" s="357">
        <v>2000</v>
      </c>
      <c r="F396" s="32"/>
    </row>
    <row r="397" spans="1:6" ht="13.5" thickBot="1" x14ac:dyDescent="0.25">
      <c r="A397" s="56" t="s">
        <v>62</v>
      </c>
      <c r="B397" s="57" t="s">
        <v>63</v>
      </c>
      <c r="C397" s="57" t="s">
        <v>243</v>
      </c>
      <c r="D397" s="58" t="s">
        <v>225</v>
      </c>
      <c r="E397" s="58" t="s">
        <v>64</v>
      </c>
      <c r="F397" s="365" t="s">
        <v>65</v>
      </c>
    </row>
    <row r="398" spans="1:6" x14ac:dyDescent="0.2">
      <c r="A398" s="271" t="s">
        <v>349</v>
      </c>
      <c r="B398" s="358" t="s">
        <v>16</v>
      </c>
      <c r="C398" s="17">
        <v>10</v>
      </c>
      <c r="D398" s="18">
        <v>5.72</v>
      </c>
      <c r="E398" s="18"/>
      <c r="F398" s="32"/>
    </row>
    <row r="399" spans="1:6" x14ac:dyDescent="0.2">
      <c r="A399" s="290" t="s">
        <v>350</v>
      </c>
      <c r="B399" s="359" t="s">
        <v>18</v>
      </c>
      <c r="C399" s="17">
        <f>$B$396</f>
        <v>2000</v>
      </c>
      <c r="D399" s="18">
        <f>IFERROR(+D398 /C398,"-")</f>
        <v>0.57199999999999995</v>
      </c>
      <c r="E399" s="18">
        <f>IFERROR(C399*D399,"-")</f>
        <v>1144</v>
      </c>
      <c r="F399" s="32"/>
    </row>
    <row r="400" spans="1:6" x14ac:dyDescent="0.2">
      <c r="A400" s="16" t="s">
        <v>226</v>
      </c>
      <c r="B400" s="359" t="s">
        <v>19</v>
      </c>
      <c r="C400" s="17">
        <v>0.35</v>
      </c>
      <c r="D400" s="9">
        <v>44.03</v>
      </c>
      <c r="E400" s="18"/>
      <c r="F400" s="32"/>
    </row>
    <row r="401" spans="1:6" x14ac:dyDescent="0.2">
      <c r="A401" s="16" t="s">
        <v>20</v>
      </c>
      <c r="B401" s="359" t="s">
        <v>18</v>
      </c>
      <c r="C401" s="17">
        <f xml:space="preserve"> $B$396</f>
        <v>2000</v>
      </c>
      <c r="D401" s="364">
        <f>$D$400*$C$400/1000</f>
        <v>1.5410499999999999E-2</v>
      </c>
      <c r="E401" s="18">
        <f>$C$401*$D$401</f>
        <v>30.820999999999998</v>
      </c>
      <c r="F401" s="32"/>
    </row>
    <row r="402" spans="1:6" x14ac:dyDescent="0.2">
      <c r="A402" s="290" t="s">
        <v>348</v>
      </c>
      <c r="B402" s="363" t="s">
        <v>351</v>
      </c>
      <c r="C402" s="17">
        <v>1</v>
      </c>
      <c r="D402" s="18">
        <v>313.20999999999998</v>
      </c>
      <c r="E402" s="18">
        <f>C402*D402/12</f>
        <v>26.10083333333333</v>
      </c>
      <c r="F402" s="32"/>
    </row>
    <row r="403" spans="1:6" ht="13.5" thickBot="1" x14ac:dyDescent="0.25">
      <c r="A403" s="16"/>
      <c r="B403" s="359"/>
      <c r="C403" s="17"/>
      <c r="D403" s="18"/>
      <c r="E403" s="18"/>
      <c r="F403" s="32"/>
    </row>
    <row r="404" spans="1:6" ht="13.5" thickBot="1" x14ac:dyDescent="0.25">
      <c r="A404" s="106" t="s">
        <v>242</v>
      </c>
      <c r="B404" s="366" t="s">
        <v>115</v>
      </c>
      <c r="C404" s="360"/>
      <c r="D404" s="361"/>
      <c r="E404" s="367">
        <f>SUM(E399+E401+E402)</f>
        <v>1200.9218333333333</v>
      </c>
      <c r="F404" s="346">
        <f>$E$404</f>
        <v>1200.9218333333333</v>
      </c>
    </row>
    <row r="405" spans="1:6" x14ac:dyDescent="0.2">
      <c r="B405" s="19"/>
      <c r="C405" s="19"/>
      <c r="D405" s="362"/>
      <c r="E405" s="362"/>
      <c r="F405" s="32"/>
    </row>
    <row r="406" spans="1:6" x14ac:dyDescent="0.2">
      <c r="B406" s="19"/>
      <c r="C406" s="19"/>
      <c r="D406" s="362"/>
      <c r="E406" s="362"/>
    </row>
    <row r="407" spans="1:6" x14ac:dyDescent="0.2">
      <c r="A407" s="342" t="s">
        <v>352</v>
      </c>
      <c r="C407" s="19"/>
      <c r="D407" s="362"/>
      <c r="E407" s="362"/>
      <c r="F407" s="32"/>
    </row>
    <row r="408" spans="1:6" ht="13.5" thickBot="1" x14ac:dyDescent="0.25">
      <c r="A408" s="342"/>
      <c r="C408" s="19"/>
      <c r="D408" s="362"/>
      <c r="E408" s="362"/>
      <c r="F408" s="32"/>
    </row>
    <row r="409" spans="1:6" ht="13.5" thickBot="1" x14ac:dyDescent="0.25">
      <c r="A409" s="56" t="s">
        <v>62</v>
      </c>
      <c r="B409" s="57" t="s">
        <v>63</v>
      </c>
      <c r="C409" s="57" t="s">
        <v>243</v>
      </c>
      <c r="D409" s="58" t="s">
        <v>225</v>
      </c>
      <c r="E409" s="58" t="s">
        <v>64</v>
      </c>
      <c r="F409" s="365" t="s">
        <v>65</v>
      </c>
    </row>
    <row r="410" spans="1:6" ht="13.5" thickBot="1" x14ac:dyDescent="0.25">
      <c r="A410" s="271" t="s">
        <v>353</v>
      </c>
      <c r="B410" s="14" t="s">
        <v>115</v>
      </c>
      <c r="C410" s="19">
        <f>B396</f>
        <v>2000</v>
      </c>
      <c r="D410" s="20">
        <v>0.13</v>
      </c>
      <c r="E410" s="20">
        <f>B396*D410</f>
        <v>260</v>
      </c>
      <c r="F410" s="346">
        <f>E410*E411</f>
        <v>260</v>
      </c>
    </row>
    <row r="411" spans="1:6" x14ac:dyDescent="0.2">
      <c r="D411" s="112" t="s">
        <v>188</v>
      </c>
      <c r="E411" s="48">
        <f>$B$70</f>
        <v>1</v>
      </c>
      <c r="F411" s="32"/>
    </row>
    <row r="412" spans="1:6" x14ac:dyDescent="0.2">
      <c r="A412" s="295"/>
      <c r="B412" s="19"/>
      <c r="C412" s="19"/>
      <c r="D412" s="20"/>
      <c r="E412" s="20"/>
      <c r="F412" s="32"/>
    </row>
    <row r="413" spans="1:6" ht="13.5" thickBot="1" x14ac:dyDescent="0.25">
      <c r="A413" s="369" t="s">
        <v>316</v>
      </c>
      <c r="B413" s="19"/>
      <c r="C413" s="19"/>
      <c r="D413" s="20"/>
      <c r="E413" s="20"/>
      <c r="F413" s="32"/>
    </row>
    <row r="414" spans="1:6" ht="13.5" thickBot="1" x14ac:dyDescent="0.25">
      <c r="A414" s="56" t="s">
        <v>62</v>
      </c>
      <c r="B414" s="57" t="s">
        <v>63</v>
      </c>
      <c r="C414" s="57" t="s">
        <v>40</v>
      </c>
      <c r="D414" s="58" t="s">
        <v>225</v>
      </c>
      <c r="E414" s="58" t="s">
        <v>64</v>
      </c>
      <c r="F414" s="365" t="s">
        <v>65</v>
      </c>
    </row>
    <row r="415" spans="1:6" x14ac:dyDescent="0.2">
      <c r="A415" s="271" t="s">
        <v>354</v>
      </c>
      <c r="B415" s="14" t="s">
        <v>10</v>
      </c>
      <c r="C415" s="16">
        <v>4</v>
      </c>
      <c r="D415" s="18">
        <v>479.55</v>
      </c>
      <c r="E415" s="48">
        <f>C415*D415</f>
        <v>1918.2</v>
      </c>
      <c r="F415" s="32"/>
    </row>
    <row r="416" spans="1:6" x14ac:dyDescent="0.2">
      <c r="A416" s="271" t="s">
        <v>355</v>
      </c>
      <c r="B416" s="14" t="s">
        <v>10</v>
      </c>
      <c r="C416" s="16">
        <v>1</v>
      </c>
      <c r="D416" s="48"/>
      <c r="E416" s="48"/>
      <c r="F416" s="32"/>
    </row>
    <row r="417" spans="1:6" x14ac:dyDescent="0.2">
      <c r="A417" s="271" t="s">
        <v>356</v>
      </c>
      <c r="B417" s="14" t="s">
        <v>10</v>
      </c>
      <c r="C417" s="16">
        <f>C415*C416</f>
        <v>4</v>
      </c>
      <c r="D417" s="48">
        <f>$D$415</f>
        <v>479.55</v>
      </c>
      <c r="E417" s="48">
        <f>C417*D417</f>
        <v>1918.2</v>
      </c>
      <c r="F417" s="32"/>
    </row>
    <row r="418" spans="1:6" ht="13.5" thickBot="1" x14ac:dyDescent="0.25">
      <c r="A418" s="290" t="s">
        <v>357</v>
      </c>
      <c r="B418" s="17" t="s">
        <v>26</v>
      </c>
      <c r="C418" s="17">
        <v>50000</v>
      </c>
      <c r="D418" s="18">
        <f>$E$417</f>
        <v>1918.2</v>
      </c>
      <c r="E418" s="240">
        <f>IFERROR(D418/C418,"-")</f>
        <v>3.8364000000000002E-2</v>
      </c>
      <c r="F418" s="32"/>
    </row>
    <row r="419" spans="1:6" ht="13.5" thickBot="1" x14ac:dyDescent="0.25">
      <c r="A419" s="16" t="s">
        <v>55</v>
      </c>
      <c r="B419" s="17" t="s">
        <v>18</v>
      </c>
      <c r="C419" s="17">
        <f>B396</f>
        <v>2000</v>
      </c>
      <c r="D419" s="240">
        <f>E418</f>
        <v>3.8364000000000002E-2</v>
      </c>
      <c r="E419" s="339">
        <f>IFERROR(C419*D419,0)</f>
        <v>76.728000000000009</v>
      </c>
      <c r="F419" s="346">
        <f>E419*E420</f>
        <v>76.728000000000009</v>
      </c>
    </row>
    <row r="420" spans="1:6" x14ac:dyDescent="0.2">
      <c r="D420" s="112" t="s">
        <v>188</v>
      </c>
      <c r="E420" s="48">
        <f>$B$70</f>
        <v>1</v>
      </c>
      <c r="F420" s="32"/>
    </row>
    <row r="421" spans="1:6" x14ac:dyDescent="0.2">
      <c r="A421" s="7"/>
      <c r="B421" s="19"/>
      <c r="C421" s="19"/>
      <c r="D421" s="20"/>
      <c r="E421" s="20"/>
    </row>
    <row r="422" spans="1:6" x14ac:dyDescent="0.2">
      <c r="A422" s="7"/>
      <c r="B422" s="19"/>
      <c r="C422" s="19"/>
      <c r="D422" s="20"/>
      <c r="E422" s="20"/>
      <c r="F422" s="338"/>
    </row>
    <row r="423" spans="1:6" x14ac:dyDescent="0.2">
      <c r="A423" s="7"/>
      <c r="B423" s="19"/>
      <c r="C423" s="19"/>
      <c r="D423" s="20"/>
      <c r="E423" s="20"/>
      <c r="F423" s="338"/>
    </row>
    <row r="429" spans="1:6" x14ac:dyDescent="0.2">
      <c r="B429" s="19"/>
      <c r="C429" s="19"/>
      <c r="E429" s="20"/>
      <c r="F429" s="32"/>
    </row>
    <row r="430" spans="1:6" ht="13.5" thickBot="1" x14ac:dyDescent="0.25">
      <c r="B430" s="19"/>
    </row>
    <row r="431" spans="1:6" ht="13.5" thickBot="1" x14ac:dyDescent="0.25">
      <c r="A431" s="24" t="s">
        <v>214</v>
      </c>
      <c r="B431" s="25"/>
      <c r="C431" s="25"/>
      <c r="D431" s="26"/>
      <c r="E431" s="27"/>
      <c r="F431" s="21">
        <f>+SUM(F292:F430)</f>
        <v>162590.14433293336</v>
      </c>
    </row>
    <row r="434" spans="1:7" x14ac:dyDescent="0.2">
      <c r="F434" s="51"/>
    </row>
    <row r="435" spans="1:7" x14ac:dyDescent="0.2">
      <c r="A435" s="11" t="s">
        <v>72</v>
      </c>
      <c r="B435" s="11"/>
      <c r="C435" s="11"/>
      <c r="D435" s="33"/>
      <c r="E435" s="33"/>
      <c r="F435" s="51"/>
    </row>
    <row r="436" spans="1:7" ht="13.5" thickBot="1" x14ac:dyDescent="0.25"/>
    <row r="437" spans="1:7" ht="13.5" thickBot="1" x14ac:dyDescent="0.25">
      <c r="A437" s="56" t="s">
        <v>62</v>
      </c>
      <c r="B437" s="57" t="s">
        <v>63</v>
      </c>
      <c r="C437" s="57" t="s">
        <v>40</v>
      </c>
      <c r="D437" s="58" t="s">
        <v>225</v>
      </c>
      <c r="E437" s="100" t="s">
        <v>64</v>
      </c>
      <c r="F437" s="59" t="s">
        <v>65</v>
      </c>
    </row>
    <row r="438" spans="1:7" x14ac:dyDescent="0.2">
      <c r="A438" s="290" t="s">
        <v>521</v>
      </c>
      <c r="B438" s="291" t="s">
        <v>516</v>
      </c>
      <c r="C438" s="90">
        <v>0.16666666666666666</v>
      </c>
      <c r="D438" s="81">
        <v>61.34</v>
      </c>
      <c r="E438" s="18">
        <f>C438*D438*6</f>
        <v>61.339999999999996</v>
      </c>
      <c r="F438" s="347"/>
    </row>
    <row r="439" spans="1:7" x14ac:dyDescent="0.2">
      <c r="A439" s="290" t="s">
        <v>522</v>
      </c>
      <c r="B439" s="291" t="s">
        <v>516</v>
      </c>
      <c r="C439" s="90">
        <v>1</v>
      </c>
      <c r="D439" s="81">
        <v>42.9</v>
      </c>
      <c r="E439" s="18">
        <f>C439*D439</f>
        <v>42.9</v>
      </c>
      <c r="F439" s="55"/>
    </row>
    <row r="440" spans="1:7" x14ac:dyDescent="0.2">
      <c r="A440" s="290" t="s">
        <v>523</v>
      </c>
      <c r="B440" s="291" t="s">
        <v>516</v>
      </c>
      <c r="C440" s="90">
        <v>2</v>
      </c>
      <c r="D440" s="81">
        <v>52.76</v>
      </c>
      <c r="E440" s="18">
        <f>C440*D440</f>
        <v>105.52</v>
      </c>
      <c r="F440" s="32"/>
    </row>
    <row r="441" spans="1:7" x14ac:dyDescent="0.2">
      <c r="A441" s="290" t="s">
        <v>528</v>
      </c>
      <c r="B441" s="291" t="s">
        <v>516</v>
      </c>
      <c r="C441" s="90">
        <v>4.166666666666667</v>
      </c>
      <c r="D441" s="81">
        <v>50</v>
      </c>
      <c r="E441" s="18">
        <f>C441*D441</f>
        <v>208.33333333333334</v>
      </c>
    </row>
    <row r="442" spans="1:7" x14ac:dyDescent="0.2">
      <c r="A442" s="294" t="s">
        <v>524</v>
      </c>
      <c r="B442" s="416" t="s">
        <v>517</v>
      </c>
      <c r="C442" s="374">
        <v>0.58333299999999999</v>
      </c>
      <c r="D442" s="375">
        <v>100</v>
      </c>
      <c r="E442" s="18">
        <f>C442*D442</f>
        <v>58.333300000000001</v>
      </c>
    </row>
    <row r="443" spans="1:7" x14ac:dyDescent="0.2">
      <c r="A443" s="294" t="s">
        <v>529</v>
      </c>
      <c r="B443" s="416" t="s">
        <v>10</v>
      </c>
      <c r="C443" s="374">
        <v>1.5</v>
      </c>
      <c r="D443" s="496">
        <v>27.4</v>
      </c>
      <c r="E443" s="361">
        <f>C443*D443</f>
        <v>41.099999999999994</v>
      </c>
    </row>
    <row r="444" spans="1:7" x14ac:dyDescent="0.2">
      <c r="A444" s="16"/>
      <c r="B444" s="17"/>
      <c r="C444" s="376"/>
      <c r="D444" s="77"/>
      <c r="E444" s="18"/>
      <c r="F444" s="55"/>
    </row>
    <row r="445" spans="1:7" ht="11.25" customHeight="1" x14ac:dyDescent="0.2">
      <c r="A445" s="290" t="s">
        <v>526</v>
      </c>
      <c r="B445" s="291" t="s">
        <v>525</v>
      </c>
      <c r="C445" s="376">
        <v>4.1666600000000003</v>
      </c>
      <c r="D445" s="77">
        <v>1559.53</v>
      </c>
      <c r="E445" s="18">
        <f>C445*D445</f>
        <v>6498.0312698000007</v>
      </c>
      <c r="F445" s="55"/>
    </row>
    <row r="446" spans="1:7" ht="15" customHeight="1" x14ac:dyDescent="0.2">
      <c r="A446" s="16"/>
      <c r="B446" s="17"/>
      <c r="C446" s="376"/>
      <c r="D446" s="77"/>
      <c r="E446" s="18"/>
      <c r="F446" s="55"/>
      <c r="G446" s="9"/>
    </row>
    <row r="447" spans="1:7" x14ac:dyDescent="0.2">
      <c r="A447" s="290" t="s">
        <v>527</v>
      </c>
      <c r="B447" s="291" t="s">
        <v>518</v>
      </c>
      <c r="C447" s="376">
        <v>0.83333000000000002</v>
      </c>
      <c r="D447" s="77">
        <f>$D$445</f>
        <v>1559.53</v>
      </c>
      <c r="E447" s="18">
        <f>C447*D447</f>
        <v>1299.6031349</v>
      </c>
      <c r="F447" s="55"/>
    </row>
    <row r="448" spans="1:7" x14ac:dyDescent="0.2">
      <c r="A448" s="16"/>
      <c r="B448" s="17"/>
      <c r="C448" s="376"/>
      <c r="D448" s="77"/>
      <c r="E448" s="18"/>
      <c r="F448" s="55"/>
    </row>
    <row r="449" spans="1:6" x14ac:dyDescent="0.2">
      <c r="A449" s="92"/>
      <c r="B449" s="93"/>
      <c r="C449" s="92"/>
      <c r="D449" s="92"/>
      <c r="E449" s="438"/>
      <c r="F449" s="55"/>
    </row>
    <row r="450" spans="1:6" ht="13.5" thickBot="1" x14ac:dyDescent="0.25">
      <c r="B450" s="19"/>
    </row>
    <row r="451" spans="1:6" ht="13.5" thickBot="1" x14ac:dyDescent="0.25">
      <c r="A451" s="24" t="s">
        <v>215</v>
      </c>
      <c r="B451" s="25"/>
      <c r="C451" s="25"/>
      <c r="D451" s="26"/>
      <c r="E451" s="27"/>
      <c r="F451" s="21">
        <f>SUM(E438:E447)</f>
        <v>8315.161038033335</v>
      </c>
    </row>
    <row r="452" spans="1:6" x14ac:dyDescent="0.2">
      <c r="A452" s="11"/>
      <c r="B452" s="11"/>
      <c r="C452" s="11"/>
      <c r="D452" s="33"/>
      <c r="E452" s="33"/>
      <c r="F452" s="338"/>
    </row>
    <row r="453" spans="1:6" x14ac:dyDescent="0.2">
      <c r="F453" s="51"/>
    </row>
    <row r="454" spans="1:6" x14ac:dyDescent="0.2">
      <c r="A454" s="11" t="s">
        <v>73</v>
      </c>
      <c r="B454" s="11"/>
      <c r="C454" s="11"/>
      <c r="D454" s="33"/>
      <c r="E454" s="33"/>
    </row>
    <row r="455" spans="1:6" ht="13.5" thickBot="1" x14ac:dyDescent="0.25"/>
    <row r="456" spans="1:6" ht="13.5" thickBot="1" x14ac:dyDescent="0.25">
      <c r="A456" s="56" t="s">
        <v>62</v>
      </c>
      <c r="B456" s="57" t="s">
        <v>63</v>
      </c>
      <c r="C456" s="57" t="s">
        <v>40</v>
      </c>
      <c r="D456" s="58" t="s">
        <v>225</v>
      </c>
      <c r="E456" s="58" t="s">
        <v>64</v>
      </c>
      <c r="F456" s="59" t="s">
        <v>65</v>
      </c>
    </row>
    <row r="457" spans="1:6" x14ac:dyDescent="0.2">
      <c r="A457" s="16" t="s">
        <v>212</v>
      </c>
      <c r="B457" s="50" t="s">
        <v>57</v>
      </c>
      <c r="C457" s="65">
        <f>C292</f>
        <v>1</v>
      </c>
      <c r="D457" s="83">
        <v>2100</v>
      </c>
      <c r="E457" s="18">
        <f>+D457*C457</f>
        <v>2100</v>
      </c>
    </row>
    <row r="458" spans="1:6" x14ac:dyDescent="0.2">
      <c r="A458" s="16" t="s">
        <v>59</v>
      </c>
      <c r="B458" s="50" t="s">
        <v>8</v>
      </c>
      <c r="C458" s="17">
        <v>24</v>
      </c>
      <c r="D458" s="76">
        <f>SUM(E457:E457)</f>
        <v>2100</v>
      </c>
      <c r="E458" s="76">
        <f>+D458/C458</f>
        <v>87.5</v>
      </c>
    </row>
    <row r="459" spans="1:6" ht="13.5" thickBot="1" x14ac:dyDescent="0.25">
      <c r="A459" s="16" t="s">
        <v>213</v>
      </c>
      <c r="B459" s="17" t="s">
        <v>10</v>
      </c>
      <c r="C459" s="65">
        <v>7</v>
      </c>
      <c r="D459" s="83">
        <v>84.67</v>
      </c>
      <c r="E459" s="18">
        <f>C459*D459</f>
        <v>592.69000000000005</v>
      </c>
    </row>
    <row r="460" spans="1:6" ht="13.5" thickBot="1" x14ac:dyDescent="0.25">
      <c r="A460" s="16" t="s">
        <v>37</v>
      </c>
      <c r="B460" s="50" t="s">
        <v>8</v>
      </c>
      <c r="C460" s="17">
        <v>1</v>
      </c>
      <c r="D460" s="76">
        <f>+E459</f>
        <v>592.69000000000005</v>
      </c>
      <c r="E460" s="76">
        <f>+D460/C460</f>
        <v>592.69000000000005</v>
      </c>
      <c r="F460" s="453">
        <f>(E458+E460)</f>
        <v>680.19</v>
      </c>
    </row>
    <row r="461" spans="1:6" ht="13.5" thickBot="1" x14ac:dyDescent="0.25">
      <c r="A461" s="12"/>
      <c r="B461" s="12"/>
      <c r="C461" s="12"/>
      <c r="D461" s="112" t="s">
        <v>188</v>
      </c>
      <c r="E461" s="48">
        <f>$B$70</f>
        <v>1</v>
      </c>
      <c r="F461" s="454"/>
    </row>
    <row r="462" spans="1:6" ht="13.5" thickBot="1" x14ac:dyDescent="0.25"/>
    <row r="463" spans="1:6" ht="13.5" thickBot="1" x14ac:dyDescent="0.25">
      <c r="A463" s="458" t="s">
        <v>211</v>
      </c>
      <c r="B463" s="459"/>
      <c r="C463" s="459"/>
      <c r="D463" s="460"/>
      <c r="E463" s="461"/>
      <c r="F463" s="452">
        <f>$F$460*$E$461</f>
        <v>680.19</v>
      </c>
    </row>
    <row r="464" spans="1:6" x14ac:dyDescent="0.2">
      <c r="A464" s="92"/>
      <c r="B464" s="92"/>
      <c r="C464" s="92"/>
      <c r="D464" s="438"/>
      <c r="E464" s="438"/>
    </row>
    <row r="465" spans="1:6" x14ac:dyDescent="0.2">
      <c r="A465" s="92"/>
      <c r="B465" s="92"/>
      <c r="C465" s="92"/>
      <c r="D465" s="438"/>
      <c r="E465" s="438"/>
    </row>
    <row r="466" spans="1:6" x14ac:dyDescent="0.2">
      <c r="A466" s="290" t="s">
        <v>361</v>
      </c>
      <c r="B466" s="291" t="s">
        <v>63</v>
      </c>
      <c r="C466" s="291" t="s">
        <v>40</v>
      </c>
      <c r="D466" s="18" t="s">
        <v>359</v>
      </c>
      <c r="E466" s="18"/>
      <c r="F466" s="338"/>
    </row>
    <row r="467" spans="1:6" x14ac:dyDescent="0.2">
      <c r="A467" s="290"/>
      <c r="B467" s="17"/>
      <c r="C467" s="17"/>
      <c r="D467" s="18"/>
      <c r="E467" s="18"/>
      <c r="F467" s="338"/>
    </row>
    <row r="468" spans="1:6" x14ac:dyDescent="0.2">
      <c r="A468" s="290" t="s">
        <v>358</v>
      </c>
      <c r="B468" s="291" t="s">
        <v>63</v>
      </c>
      <c r="C468" s="17">
        <v>1</v>
      </c>
      <c r="D468" s="18">
        <v>20000</v>
      </c>
      <c r="E468" s="18"/>
      <c r="F468" s="338"/>
    </row>
    <row r="469" spans="1:6" ht="13.5" thickBot="1" x14ac:dyDescent="0.25">
      <c r="A469" s="7"/>
      <c r="B469" s="19"/>
      <c r="C469" s="19"/>
      <c r="D469" s="20"/>
      <c r="E469" s="20"/>
      <c r="F469" s="338"/>
    </row>
    <row r="470" spans="1:6" ht="13.5" thickBot="1" x14ac:dyDescent="0.25">
      <c r="A470" s="24" t="s">
        <v>363</v>
      </c>
      <c r="B470" s="381"/>
      <c r="C470" s="381"/>
      <c r="D470" s="382"/>
      <c r="E470" s="383"/>
      <c r="F470" s="384">
        <f>$D$468</f>
        <v>20000</v>
      </c>
    </row>
    <row r="471" spans="1:6" x14ac:dyDescent="0.2">
      <c r="A471" s="11"/>
      <c r="B471" s="11"/>
      <c r="C471" s="11"/>
      <c r="D471" s="33"/>
      <c r="E471" s="33"/>
    </row>
    <row r="472" spans="1:6" ht="13.5" thickBot="1" x14ac:dyDescent="0.25">
      <c r="F472" s="338"/>
    </row>
    <row r="473" spans="1:6" ht="13.5" thickBot="1" x14ac:dyDescent="0.25">
      <c r="A473" s="24" t="s">
        <v>216</v>
      </c>
      <c r="B473" s="28"/>
      <c r="C473" s="28"/>
      <c r="D473" s="29"/>
      <c r="E473" s="29"/>
      <c r="F473" s="22">
        <f>+F250+F284+F431+F451+F463+F470</f>
        <v>487413.86129856325</v>
      </c>
    </row>
    <row r="475" spans="1:6" x14ac:dyDescent="0.2">
      <c r="A475" s="11" t="s">
        <v>362</v>
      </c>
      <c r="F475" s="32"/>
    </row>
    <row r="476" spans="1:6" ht="13.5" thickBot="1" x14ac:dyDescent="0.25"/>
    <row r="477" spans="1:6" ht="13.5" thickBot="1" x14ac:dyDescent="0.25">
      <c r="A477" s="56" t="s">
        <v>62</v>
      </c>
      <c r="B477" s="57" t="s">
        <v>63</v>
      </c>
      <c r="C477" s="57" t="s">
        <v>40</v>
      </c>
      <c r="D477" s="58" t="s">
        <v>225</v>
      </c>
      <c r="E477" s="379" t="s">
        <v>64</v>
      </c>
      <c r="F477" s="417" t="s">
        <v>378</v>
      </c>
    </row>
    <row r="478" spans="1:6" ht="13.5" thickBot="1" x14ac:dyDescent="0.25">
      <c r="A478" s="13" t="s">
        <v>36</v>
      </c>
      <c r="B478" s="14" t="s">
        <v>2</v>
      </c>
      <c r="C478" s="125">
        <f>'4.BDI'!C20*100</f>
        <v>26.790000000000003</v>
      </c>
      <c r="D478" s="15">
        <f>+F473</f>
        <v>487413.86129856325</v>
      </c>
      <c r="E478" s="15">
        <f>C478*D478/100</f>
        <v>130578.17344188511</v>
      </c>
      <c r="F478" s="21">
        <f>+E478</f>
        <v>130578.17344188511</v>
      </c>
    </row>
    <row r="480" spans="1:6" ht="13.5" thickBot="1" x14ac:dyDescent="0.25"/>
    <row r="481" spans="1:6" ht="13.5" thickBot="1" x14ac:dyDescent="0.25">
      <c r="A481" s="24" t="s">
        <v>230</v>
      </c>
      <c r="B481" s="28"/>
      <c r="C481" s="28"/>
      <c r="D481" s="29"/>
      <c r="E481" s="30"/>
      <c r="F481" s="22">
        <f>F478</f>
        <v>130578.17344188511</v>
      </c>
    </row>
    <row r="482" spans="1:6" x14ac:dyDescent="0.2">
      <c r="A482" s="11"/>
      <c r="B482" s="11"/>
      <c r="C482" s="11"/>
      <c r="D482" s="33"/>
      <c r="E482" s="33"/>
    </row>
    <row r="483" spans="1:6" ht="13.5" thickBot="1" x14ac:dyDescent="0.25">
      <c r="F483" s="33"/>
    </row>
    <row r="484" spans="1:6" ht="13.5" thickBot="1" x14ac:dyDescent="0.25">
      <c r="A484" s="24" t="s">
        <v>379</v>
      </c>
      <c r="B484" s="28"/>
      <c r="C484" s="28"/>
      <c r="D484" s="29"/>
      <c r="E484" s="30"/>
      <c r="F484" s="22">
        <f>F473+F481</f>
        <v>617992.03474044835</v>
      </c>
    </row>
    <row r="485" spans="1:6" ht="15.75" x14ac:dyDescent="0.2">
      <c r="A485" s="52"/>
      <c r="B485" s="52"/>
      <c r="C485" s="52"/>
      <c r="D485" s="53"/>
      <c r="E485" s="53"/>
      <c r="F485" s="4"/>
    </row>
    <row r="486" spans="1:6" ht="14.25" x14ac:dyDescent="0.2">
      <c r="A486" s="8"/>
      <c r="B486" s="8"/>
      <c r="C486" s="8"/>
      <c r="D486" s="34"/>
      <c r="E486" s="34"/>
    </row>
    <row r="487" spans="1:6" x14ac:dyDescent="0.2">
      <c r="A487" s="419" t="s">
        <v>380</v>
      </c>
      <c r="B487" s="222"/>
      <c r="C487" s="222"/>
      <c r="D487" s="223">
        <v>2520</v>
      </c>
      <c r="E487" s="224" t="s">
        <v>27</v>
      </c>
    </row>
    <row r="488" spans="1:6" ht="13.5" thickBot="1" x14ac:dyDescent="0.25"/>
    <row r="489" spans="1:6" ht="13.5" thickBot="1" x14ac:dyDescent="0.25">
      <c r="A489" s="24" t="s">
        <v>613</v>
      </c>
      <c r="B489" s="25"/>
      <c r="C489" s="25"/>
      <c r="D489" s="26"/>
      <c r="E489" s="225" t="s">
        <v>32</v>
      </c>
      <c r="F489" s="518">
        <f>IFERROR(F484/D487,"-")</f>
        <v>245.23493442081283</v>
      </c>
    </row>
    <row r="490" spans="1:6" x14ac:dyDescent="0.2">
      <c r="A490" s="11"/>
      <c r="B490" s="11"/>
      <c r="C490" s="11"/>
      <c r="D490" s="33"/>
      <c r="E490" s="33"/>
    </row>
    <row r="491" spans="1:6" x14ac:dyDescent="0.2">
      <c r="A491" s="11"/>
      <c r="B491" s="11"/>
      <c r="C491" s="11"/>
      <c r="D491" s="33"/>
      <c r="E491" s="33"/>
    </row>
    <row r="492" spans="1:6" x14ac:dyDescent="0.2">
      <c r="B492" s="4"/>
      <c r="C492" s="4"/>
      <c r="D492" s="4"/>
      <c r="E492" s="4"/>
    </row>
    <row r="493" spans="1:6" x14ac:dyDescent="0.2">
      <c r="B493" s="4"/>
      <c r="C493" s="4"/>
      <c r="D493" s="4"/>
      <c r="E493" s="4"/>
    </row>
    <row r="494" spans="1:6" x14ac:dyDescent="0.2">
      <c r="B494" s="10"/>
      <c r="C494" s="10"/>
    </row>
    <row r="495" spans="1:6" ht="15.75" x14ac:dyDescent="0.2">
      <c r="A495" s="37"/>
      <c r="B495" s="10"/>
      <c r="C495" s="10"/>
    </row>
    <row r="496" spans="1:6" ht="18" x14ac:dyDescent="0.2">
      <c r="A496" s="37"/>
      <c r="B496" s="10"/>
      <c r="C496" s="10"/>
      <c r="F496" s="341"/>
    </row>
    <row r="497" spans="1:6" ht="15.75" x14ac:dyDescent="0.2">
      <c r="A497" s="394"/>
      <c r="B497" s="395"/>
      <c r="C497" s="395"/>
      <c r="D497" s="395"/>
      <c r="E497" s="395"/>
      <c r="F497" s="396"/>
    </row>
    <row r="498" spans="1:6" ht="15.75" x14ac:dyDescent="0.2">
      <c r="A498" s="37"/>
      <c r="B498" s="10"/>
      <c r="C498" s="10"/>
      <c r="F498" s="281"/>
    </row>
    <row r="499" spans="1:6" ht="15.75" x14ac:dyDescent="0.2">
      <c r="A499" s="37"/>
      <c r="B499" s="55"/>
      <c r="C499" s="10"/>
      <c r="F499" s="6"/>
    </row>
    <row r="500" spans="1:6" ht="15.75" x14ac:dyDescent="0.2">
      <c r="A500" s="37"/>
      <c r="B500" s="10"/>
      <c r="C500" s="10"/>
      <c r="F500" s="9"/>
    </row>
    <row r="501" spans="1:6" ht="15.75" x14ac:dyDescent="0.2">
      <c r="A501" s="37"/>
      <c r="B501" s="10"/>
      <c r="C501" s="10"/>
      <c r="F501" s="9"/>
    </row>
    <row r="502" spans="1:6" ht="16.5" thickBot="1" x14ac:dyDescent="0.25">
      <c r="A502" s="37"/>
      <c r="B502" s="10"/>
      <c r="C502" s="10"/>
      <c r="F502" s="9"/>
    </row>
    <row r="503" spans="1:6" ht="18" x14ac:dyDescent="0.25">
      <c r="A503" s="400" t="s">
        <v>367</v>
      </c>
      <c r="B503" s="401"/>
      <c r="C503" s="401"/>
      <c r="D503" s="401"/>
      <c r="E503" s="401"/>
      <c r="F503" s="404"/>
    </row>
    <row r="504" spans="1:6" ht="15.75" thickBot="1" x14ac:dyDescent="0.3">
      <c r="A504" s="402" t="s">
        <v>43</v>
      </c>
      <c r="B504" s="403"/>
      <c r="C504" s="403"/>
      <c r="D504" s="403"/>
      <c r="E504" s="403"/>
      <c r="F504" s="405"/>
    </row>
    <row r="505" spans="1:6" x14ac:dyDescent="0.2">
      <c r="A505" s="4"/>
      <c r="B505" s="5"/>
      <c r="C505" s="5"/>
      <c r="D505" s="281"/>
      <c r="E505" s="281"/>
      <c r="F505" s="9"/>
    </row>
    <row r="506" spans="1:6" ht="16.5" thickBot="1" x14ac:dyDescent="0.25">
      <c r="A506" s="37" t="s">
        <v>295</v>
      </c>
      <c r="B506" s="6"/>
      <c r="C506" s="6"/>
      <c r="D506" s="6"/>
      <c r="E506" s="6"/>
      <c r="F506" s="9"/>
    </row>
    <row r="507" spans="1:6" x14ac:dyDescent="0.2">
      <c r="A507" s="60" t="s">
        <v>296</v>
      </c>
      <c r="B507" s="38"/>
      <c r="C507" s="282"/>
      <c r="D507" s="521" t="s">
        <v>38</v>
      </c>
      <c r="E507" s="521"/>
      <c r="F507" s="39" t="s">
        <v>2</v>
      </c>
    </row>
    <row r="508" spans="1:6" x14ac:dyDescent="0.2">
      <c r="A508" s="47" t="str">
        <f>+A530</f>
        <v>1. Mão-de-obra</v>
      </c>
      <c r="B508" s="43"/>
      <c r="C508" s="45"/>
      <c r="D508" s="539">
        <f>+F603</f>
        <v>40675.124980746245</v>
      </c>
      <c r="E508" s="540"/>
      <c r="F508" s="54">
        <f>+D508/D513</f>
        <v>0.69619922753792118</v>
      </c>
    </row>
    <row r="509" spans="1:6" x14ac:dyDescent="0.2">
      <c r="A509" s="522" t="str">
        <f>+A605</f>
        <v>2. Uniformes e Equipamentos de Proteção Individual</v>
      </c>
      <c r="B509" s="523"/>
      <c r="C509" s="523"/>
      <c r="D509" s="539">
        <f>+F636</f>
        <v>1726.6733333333332</v>
      </c>
      <c r="E509" s="540"/>
      <c r="F509" s="54">
        <f>+D509/D513</f>
        <v>2.9553901590862172E-2</v>
      </c>
    </row>
    <row r="510" spans="1:6" x14ac:dyDescent="0.2">
      <c r="A510" s="283" t="s">
        <v>520</v>
      </c>
      <c r="B510" s="44"/>
      <c r="C510" s="45"/>
      <c r="D510" s="539">
        <f>F655</f>
        <v>1827.9774600000001</v>
      </c>
      <c r="E510" s="540"/>
      <c r="F510" s="54">
        <f>+D510/D513</f>
        <v>3.1287832458072089E-2</v>
      </c>
    </row>
    <row r="511" spans="1:6" x14ac:dyDescent="0.2">
      <c r="A511" s="7" t="str">
        <f>A658</f>
        <v>4.Instalações / Sala Comercial</v>
      </c>
      <c r="B511" s="44"/>
      <c r="C511" s="45"/>
      <c r="D511" s="420"/>
      <c r="E511" s="421">
        <f>F660</f>
        <v>1850</v>
      </c>
      <c r="F511" s="54">
        <f>E511/D513</f>
        <v>3.166477230382992E-2</v>
      </c>
    </row>
    <row r="512" spans="1:6" ht="13.5" thickBot="1" x14ac:dyDescent="0.25">
      <c r="A512" s="283" t="str">
        <f>+A669</f>
        <v>5. Benefícios e Despesas Indiretas - BDI</v>
      </c>
      <c r="B512" s="44"/>
      <c r="C512" s="45"/>
      <c r="D512" s="541">
        <f>F675</f>
        <v>12344.77192987592</v>
      </c>
      <c r="E512" s="540"/>
      <c r="F512" s="54">
        <f>+D512/D513</f>
        <v>0.21129426610931465</v>
      </c>
    </row>
    <row r="513" spans="1:6" ht="13.5" thickBot="1" x14ac:dyDescent="0.25">
      <c r="A513" s="40" t="s">
        <v>297</v>
      </c>
      <c r="B513" s="41"/>
      <c r="C513" s="26"/>
      <c r="D513" s="542">
        <f>SUM(D508:E512)</f>
        <v>58424.547703955497</v>
      </c>
      <c r="E513" s="543"/>
      <c r="F513" s="284">
        <f>SUM(F508:F512)</f>
        <v>1</v>
      </c>
    </row>
    <row r="514" spans="1:6" x14ac:dyDescent="0.2">
      <c r="A514" s="7"/>
      <c r="B514" s="7"/>
      <c r="C514" s="7"/>
      <c r="D514" s="285"/>
      <c r="E514" s="285"/>
      <c r="F514" s="285"/>
    </row>
    <row r="515" spans="1:6" x14ac:dyDescent="0.2">
      <c r="A515" s="397"/>
      <c r="B515" s="398"/>
      <c r="C515" s="398"/>
      <c r="D515" s="399"/>
      <c r="E515" s="399"/>
      <c r="F515" s="399"/>
    </row>
    <row r="516" spans="1:6" x14ac:dyDescent="0.2">
      <c r="A516" s="7"/>
      <c r="B516" s="7"/>
      <c r="C516" s="7"/>
      <c r="D516" s="285"/>
      <c r="E516" s="285"/>
      <c r="F516" s="285"/>
    </row>
    <row r="517" spans="1:6" ht="15.75" x14ac:dyDescent="0.2">
      <c r="A517" s="37" t="s">
        <v>298</v>
      </c>
      <c r="B517" s="285"/>
      <c r="C517" s="285"/>
      <c r="D517" s="285"/>
      <c r="E517" s="285"/>
      <c r="F517" s="285"/>
    </row>
    <row r="518" spans="1:6" x14ac:dyDescent="0.2">
      <c r="A518" s="538" t="s">
        <v>39</v>
      </c>
      <c r="B518" s="538"/>
      <c r="C518" s="538"/>
      <c r="D518" s="538"/>
      <c r="E518" s="437" t="s">
        <v>40</v>
      </c>
      <c r="F518" s="285"/>
    </row>
    <row r="519" spans="1:6" x14ac:dyDescent="0.2">
      <c r="A519" s="300" t="str">
        <f>+A532</f>
        <v xml:space="preserve">1.1. Varredor (a) Turno do Dia </v>
      </c>
      <c r="B519" s="300"/>
      <c r="C519" s="300"/>
      <c r="D519" s="436"/>
      <c r="E519" s="435">
        <f>+C541</f>
        <v>4</v>
      </c>
      <c r="F519" s="285"/>
    </row>
    <row r="520" spans="1:6" x14ac:dyDescent="0.2">
      <c r="A520" s="300" t="str">
        <f>+A544</f>
        <v>1.2. Varredor (a) Turno da Intermediária</v>
      </c>
      <c r="B520" s="300"/>
      <c r="C520" s="300"/>
      <c r="D520" s="436"/>
      <c r="E520" s="435">
        <f>+C553</f>
        <v>4</v>
      </c>
      <c r="F520" s="285"/>
    </row>
    <row r="521" spans="1:6" x14ac:dyDescent="0.2">
      <c r="A521" s="300" t="str">
        <f>+A558</f>
        <v>1.3. Supervisor (lider  Equipes)</v>
      </c>
      <c r="B521" s="300"/>
      <c r="C521" s="300"/>
      <c r="D521" s="436"/>
      <c r="E521" s="435">
        <f>+C566</f>
        <v>1</v>
      </c>
      <c r="F521" s="285"/>
    </row>
    <row r="522" spans="1:6" x14ac:dyDescent="0.2">
      <c r="A522" s="438" t="s">
        <v>58</v>
      </c>
      <c r="B522" s="439"/>
      <c r="C522" s="439"/>
      <c r="D522" s="436"/>
      <c r="E522" s="435">
        <f>SUM(E519:E521)</f>
        <v>9</v>
      </c>
      <c r="F522" s="285"/>
    </row>
    <row r="523" spans="1:6" x14ac:dyDescent="0.2">
      <c r="A523" s="33"/>
      <c r="B523" s="336"/>
      <c r="C523" s="336"/>
      <c r="D523" s="4"/>
      <c r="E523" s="434"/>
      <c r="F523" s="285"/>
    </row>
    <row r="524" spans="1:6" x14ac:dyDescent="0.2">
      <c r="A524" s="286"/>
      <c r="B524" s="286"/>
      <c r="C524" s="286"/>
      <c r="D524" s="7"/>
      <c r="E524" s="287"/>
      <c r="F524" s="9"/>
    </row>
    <row r="525" spans="1:6" x14ac:dyDescent="0.2">
      <c r="A525" s="391"/>
      <c r="B525" s="392"/>
      <c r="C525" s="392"/>
      <c r="D525" s="393"/>
      <c r="E525" s="393"/>
      <c r="F525" s="393"/>
    </row>
    <row r="526" spans="1:6" ht="13.5" thickBot="1" x14ac:dyDescent="0.25">
      <c r="A526" s="7"/>
      <c r="B526" s="250"/>
      <c r="C526" s="250"/>
      <c r="D526" s="408"/>
      <c r="E526" s="408"/>
      <c r="F526" s="408"/>
    </row>
    <row r="527" spans="1:6" ht="13.5" thickBot="1" x14ac:dyDescent="0.25">
      <c r="A527" s="11" t="s">
        <v>369</v>
      </c>
      <c r="B527" s="409">
        <f>100%</f>
        <v>1</v>
      </c>
      <c r="C527" s="250"/>
      <c r="D527" s="408"/>
      <c r="E527" s="408"/>
      <c r="F527" s="408"/>
    </row>
    <row r="528" spans="1:6" x14ac:dyDescent="0.2">
      <c r="A528" s="7"/>
      <c r="B528" s="250"/>
      <c r="C528" s="250"/>
      <c r="D528" s="408"/>
      <c r="E528" s="408"/>
      <c r="F528" s="285"/>
    </row>
    <row r="529" spans="1:6" x14ac:dyDescent="0.2">
      <c r="A529" s="286"/>
      <c r="B529" s="286"/>
      <c r="C529" s="286"/>
      <c r="D529" s="7"/>
      <c r="E529" s="287"/>
      <c r="F529" s="285"/>
    </row>
    <row r="530" spans="1:6" x14ac:dyDescent="0.2">
      <c r="A530" s="11" t="s">
        <v>47</v>
      </c>
      <c r="B530" s="7"/>
      <c r="C530" s="7"/>
      <c r="D530" s="285"/>
      <c r="E530" s="285"/>
      <c r="F530" s="285"/>
    </row>
    <row r="531" spans="1:6" x14ac:dyDescent="0.2">
      <c r="A531" s="7"/>
      <c r="B531" s="7"/>
      <c r="C531" s="7"/>
      <c r="D531" s="285"/>
      <c r="E531" s="285"/>
      <c r="F531" s="285"/>
    </row>
    <row r="532" spans="1:6" ht="13.5" thickBot="1" x14ac:dyDescent="0.25">
      <c r="A532" s="7" t="s">
        <v>299</v>
      </c>
      <c r="B532" s="7"/>
      <c r="C532" s="7"/>
      <c r="D532" s="285"/>
      <c r="E532" s="285"/>
      <c r="F532" s="285"/>
    </row>
    <row r="533" spans="1:6" ht="13.5" thickBot="1" x14ac:dyDescent="0.25">
      <c r="A533" s="56" t="s">
        <v>62</v>
      </c>
      <c r="B533" s="57" t="s">
        <v>63</v>
      </c>
      <c r="C533" s="57" t="s">
        <v>40</v>
      </c>
      <c r="D533" s="58" t="s">
        <v>300</v>
      </c>
      <c r="E533" s="58" t="s">
        <v>64</v>
      </c>
      <c r="F533" s="59" t="s">
        <v>65</v>
      </c>
    </row>
    <row r="534" spans="1:6" x14ac:dyDescent="0.2">
      <c r="A534" s="271" t="s">
        <v>301</v>
      </c>
      <c r="B534" s="288" t="s">
        <v>8</v>
      </c>
      <c r="C534" s="429">
        <v>1</v>
      </c>
      <c r="D534" s="289">
        <v>1570.01</v>
      </c>
      <c r="E534" s="289">
        <f>C534*D534</f>
        <v>1570.01</v>
      </c>
      <c r="F534" s="9"/>
    </row>
    <row r="535" spans="1:6" x14ac:dyDescent="0.2">
      <c r="A535" s="290" t="s">
        <v>34</v>
      </c>
      <c r="B535" s="291" t="s">
        <v>0</v>
      </c>
      <c r="C535" s="292"/>
      <c r="D535" s="293">
        <f>D534/220*2</f>
        <v>14.272818181818181</v>
      </c>
      <c r="E535" s="293">
        <f>C535*D535</f>
        <v>0</v>
      </c>
      <c r="F535" s="285"/>
    </row>
    <row r="536" spans="1:6" x14ac:dyDescent="0.2">
      <c r="A536" s="290" t="s">
        <v>35</v>
      </c>
      <c r="B536" s="291" t="s">
        <v>0</v>
      </c>
      <c r="C536" s="292"/>
      <c r="D536" s="293">
        <f>D534/220*1.5</f>
        <v>10.704613636363636</v>
      </c>
      <c r="E536" s="293">
        <f>C536*D536</f>
        <v>0</v>
      </c>
      <c r="F536" s="285"/>
    </row>
    <row r="537" spans="1:6" x14ac:dyDescent="0.2">
      <c r="A537" s="290" t="s">
        <v>1</v>
      </c>
      <c r="B537" s="291" t="s">
        <v>2</v>
      </c>
      <c r="C537" s="292">
        <v>40</v>
      </c>
      <c r="D537" s="293">
        <f>D534</f>
        <v>1570.01</v>
      </c>
      <c r="E537" s="293">
        <f>C537*D537/100</f>
        <v>628.00400000000002</v>
      </c>
      <c r="F537" s="9"/>
    </row>
    <row r="538" spans="1:6" x14ac:dyDescent="0.2">
      <c r="A538" s="294" t="s">
        <v>3</v>
      </c>
      <c r="B538" s="295"/>
      <c r="C538" s="430"/>
      <c r="D538" s="296"/>
      <c r="E538" s="297">
        <f>SUM(E534:E537)</f>
        <v>2198.0140000000001</v>
      </c>
      <c r="F538" s="285"/>
    </row>
    <row r="539" spans="1:6" x14ac:dyDescent="0.2">
      <c r="A539" s="290" t="s">
        <v>4</v>
      </c>
      <c r="B539" s="291" t="s">
        <v>2</v>
      </c>
      <c r="C539" s="292">
        <f>$C$82</f>
        <v>70.595951999999997</v>
      </c>
      <c r="D539" s="293">
        <f>E538</f>
        <v>2198.0140000000001</v>
      </c>
      <c r="E539" s="293">
        <f>D539*C539/100</f>
        <v>1551.7089083932799</v>
      </c>
      <c r="F539" s="285"/>
    </row>
    <row r="540" spans="1:6" ht="13.5" thickBot="1" x14ac:dyDescent="0.25">
      <c r="A540" s="294" t="s">
        <v>366</v>
      </c>
      <c r="B540" s="295"/>
      <c r="C540" s="430"/>
      <c r="D540" s="296"/>
      <c r="E540" s="297">
        <f>E538+E539</f>
        <v>3749.7229083932798</v>
      </c>
    </row>
    <row r="541" spans="1:6" ht="13.5" thickBot="1" x14ac:dyDescent="0.25">
      <c r="A541" s="290" t="s">
        <v>5</v>
      </c>
      <c r="B541" s="291" t="s">
        <v>302</v>
      </c>
      <c r="C541" s="292">
        <v>4</v>
      </c>
      <c r="D541" s="293">
        <f>E540</f>
        <v>3749.7229083932798</v>
      </c>
      <c r="E541" s="293">
        <f>C541*D541</f>
        <v>14998.891633573119</v>
      </c>
      <c r="F541" s="21">
        <f>$E$541*E542</f>
        <v>14998.891633573119</v>
      </c>
    </row>
    <row r="542" spans="1:6" x14ac:dyDescent="0.2">
      <c r="A542" s="7"/>
      <c r="B542" s="7"/>
      <c r="C542" s="7" t="s">
        <v>368</v>
      </c>
      <c r="D542" s="285"/>
      <c r="E542" s="285">
        <f>B527</f>
        <v>1</v>
      </c>
    </row>
    <row r="543" spans="1:6" x14ac:dyDescent="0.2">
      <c r="A543" s="7"/>
      <c r="B543" s="7"/>
      <c r="C543" s="7"/>
      <c r="D543" s="285"/>
      <c r="E543" s="285"/>
      <c r="F543" s="285"/>
    </row>
    <row r="544" spans="1:6" ht="13.5" thickBot="1" x14ac:dyDescent="0.25">
      <c r="A544" s="7" t="s">
        <v>303</v>
      </c>
      <c r="B544" s="7"/>
      <c r="C544" s="7"/>
      <c r="D544" s="285"/>
      <c r="E544" s="285"/>
      <c r="F544" s="285"/>
    </row>
    <row r="545" spans="1:6" ht="13.5" thickBot="1" x14ac:dyDescent="0.25">
      <c r="A545" s="56" t="s">
        <v>62</v>
      </c>
      <c r="B545" s="57" t="s">
        <v>63</v>
      </c>
      <c r="C545" s="57" t="s">
        <v>40</v>
      </c>
      <c r="D545" s="58" t="s">
        <v>300</v>
      </c>
      <c r="E545" s="58" t="s">
        <v>64</v>
      </c>
      <c r="F545" s="59" t="s">
        <v>65</v>
      </c>
    </row>
    <row r="546" spans="1:6" x14ac:dyDescent="0.2">
      <c r="A546" s="271" t="s">
        <v>301</v>
      </c>
      <c r="B546" s="288" t="s">
        <v>8</v>
      </c>
      <c r="C546" s="309">
        <v>1</v>
      </c>
      <c r="D546" s="289">
        <f>D534</f>
        <v>1570.01</v>
      </c>
      <c r="E546" s="289">
        <f>C546*D546</f>
        <v>1570.01</v>
      </c>
      <c r="F546" s="9"/>
    </row>
    <row r="547" spans="1:6" x14ac:dyDescent="0.2">
      <c r="A547" s="290" t="s">
        <v>34</v>
      </c>
      <c r="B547" s="291" t="s">
        <v>0</v>
      </c>
      <c r="C547" s="310"/>
      <c r="D547" s="293">
        <f>D546/220*2</f>
        <v>14.272818181818181</v>
      </c>
      <c r="E547" s="293">
        <f>C547*D547</f>
        <v>0</v>
      </c>
      <c r="F547" s="285"/>
    </row>
    <row r="548" spans="1:6" x14ac:dyDescent="0.2">
      <c r="A548" s="290" t="s">
        <v>1</v>
      </c>
      <c r="B548" s="291" t="s">
        <v>2</v>
      </c>
      <c r="C548" s="310">
        <v>40</v>
      </c>
      <c r="D548" s="293">
        <f>D546</f>
        <v>1570.01</v>
      </c>
      <c r="E548" s="293">
        <f>C548*D548/100</f>
        <v>628.00400000000002</v>
      </c>
      <c r="F548" s="285"/>
    </row>
    <row r="549" spans="1:6" x14ac:dyDescent="0.2">
      <c r="A549" s="290" t="s">
        <v>7</v>
      </c>
      <c r="B549" s="291" t="s">
        <v>0</v>
      </c>
      <c r="C549" s="310">
        <v>0</v>
      </c>
      <c r="D549" s="293">
        <f>D546/220*0.2</f>
        <v>1.4272818181818181</v>
      </c>
      <c r="E549" s="293">
        <f>C549*D549</f>
        <v>0</v>
      </c>
      <c r="F549" s="9"/>
    </row>
    <row r="550" spans="1:6" x14ac:dyDescent="0.2">
      <c r="A550" s="294" t="s">
        <v>3</v>
      </c>
      <c r="B550" s="295"/>
      <c r="C550" s="406"/>
      <c r="D550" s="296"/>
      <c r="E550" s="297">
        <f>SUM(E546:E549)</f>
        <v>2198.0140000000001</v>
      </c>
      <c r="F550" s="285"/>
    </row>
    <row r="551" spans="1:6" x14ac:dyDescent="0.2">
      <c r="A551" s="290" t="s">
        <v>4</v>
      </c>
      <c r="B551" s="291" t="s">
        <v>2</v>
      </c>
      <c r="C551" s="310">
        <f>C539</f>
        <v>70.595951999999997</v>
      </c>
      <c r="D551" s="293">
        <f>E550</f>
        <v>2198.0140000000001</v>
      </c>
      <c r="E551" s="293">
        <f>D551*C551/100</f>
        <v>1551.7089083932799</v>
      </c>
      <c r="F551" s="285"/>
    </row>
    <row r="552" spans="1:6" ht="13.5" thickBot="1" x14ac:dyDescent="0.25">
      <c r="A552" s="294" t="s">
        <v>366</v>
      </c>
      <c r="B552" s="295"/>
      <c r="C552" s="406"/>
      <c r="D552" s="296"/>
      <c r="E552" s="297">
        <f>E550+E551</f>
        <v>3749.7229083932798</v>
      </c>
    </row>
    <row r="553" spans="1:6" ht="13.5" thickBot="1" x14ac:dyDescent="0.25">
      <c r="A553" s="290" t="s">
        <v>5</v>
      </c>
      <c r="B553" s="291" t="s">
        <v>302</v>
      </c>
      <c r="C553" s="310">
        <v>4</v>
      </c>
      <c r="D553" s="293">
        <f>E552</f>
        <v>3749.7229083932798</v>
      </c>
      <c r="E553" s="293">
        <f>C553*D553</f>
        <v>14998.891633573119</v>
      </c>
      <c r="F553" s="21">
        <f>$E$553*E554</f>
        <v>14998.891633573119</v>
      </c>
    </row>
    <row r="554" spans="1:6" x14ac:dyDescent="0.2">
      <c r="A554" s="7"/>
      <c r="B554" s="7"/>
      <c r="C554" s="7" t="s">
        <v>368</v>
      </c>
      <c r="D554" s="285"/>
      <c r="E554" s="285">
        <f>B527</f>
        <v>1</v>
      </c>
    </row>
    <row r="555" spans="1:6" x14ac:dyDescent="0.2">
      <c r="A555" s="7"/>
      <c r="B555" s="7"/>
      <c r="C555" s="250"/>
      <c r="D555" s="285"/>
      <c r="E555" s="285"/>
      <c r="F555" s="285"/>
    </row>
    <row r="556" spans="1:6" x14ac:dyDescent="0.2">
      <c r="A556" s="7"/>
      <c r="B556" s="7"/>
      <c r="C556" s="250"/>
      <c r="D556" s="285"/>
      <c r="E556" s="285"/>
      <c r="F556" s="285"/>
    </row>
    <row r="557" spans="1:6" x14ac:dyDescent="0.2">
      <c r="A557" s="7"/>
      <c r="B557" s="7"/>
      <c r="C557" s="250"/>
      <c r="D557" s="285"/>
      <c r="E557" s="285"/>
      <c r="F557" s="285"/>
    </row>
    <row r="558" spans="1:6" ht="13.5" thickBot="1" x14ac:dyDescent="0.25">
      <c r="A558" s="7" t="s">
        <v>371</v>
      </c>
      <c r="B558" s="7"/>
      <c r="C558" s="250"/>
      <c r="D558" s="285"/>
      <c r="E558" s="285"/>
      <c r="F558" s="285"/>
    </row>
    <row r="559" spans="1:6" ht="13.5" thickBot="1" x14ac:dyDescent="0.25">
      <c r="A559" s="56" t="s">
        <v>62</v>
      </c>
      <c r="B559" s="57" t="s">
        <v>63</v>
      </c>
      <c r="C559" s="407" t="s">
        <v>40</v>
      </c>
      <c r="D559" s="58" t="s">
        <v>300</v>
      </c>
      <c r="E559" s="58" t="s">
        <v>64</v>
      </c>
      <c r="F559" s="59" t="s">
        <v>65</v>
      </c>
    </row>
    <row r="560" spans="1:6" x14ac:dyDescent="0.2">
      <c r="A560" s="271" t="s">
        <v>301</v>
      </c>
      <c r="B560" s="288" t="s">
        <v>8</v>
      </c>
      <c r="C560" s="309">
        <v>1</v>
      </c>
      <c r="D560" s="289">
        <v>2680</v>
      </c>
      <c r="E560" s="289">
        <f>C560*D560</f>
        <v>2680</v>
      </c>
      <c r="F560" s="285"/>
    </row>
    <row r="561" spans="1:10" x14ac:dyDescent="0.2">
      <c r="A561" s="290" t="s">
        <v>34</v>
      </c>
      <c r="B561" s="291" t="s">
        <v>0</v>
      </c>
      <c r="C561" s="310">
        <v>0</v>
      </c>
      <c r="D561" s="293">
        <f>D560/220*2</f>
        <v>24.363636363636363</v>
      </c>
      <c r="E561" s="293">
        <f>C561*D561</f>
        <v>0</v>
      </c>
      <c r="F561" s="285"/>
    </row>
    <row r="562" spans="1:10" x14ac:dyDescent="0.2">
      <c r="A562" s="290" t="s">
        <v>35</v>
      </c>
      <c r="B562" s="291" t="s">
        <v>0</v>
      </c>
      <c r="C562" s="310">
        <v>0</v>
      </c>
      <c r="D562" s="293">
        <f>D560/220*1.5</f>
        <v>18.272727272727273</v>
      </c>
      <c r="E562" s="293">
        <f>C562*D562</f>
        <v>0</v>
      </c>
      <c r="F562" s="9"/>
    </row>
    <row r="563" spans="1:10" x14ac:dyDescent="0.2">
      <c r="A563" s="294" t="s">
        <v>3</v>
      </c>
      <c r="B563" s="295"/>
      <c r="C563" s="406"/>
      <c r="D563" s="296"/>
      <c r="E563" s="297">
        <f>SUM(E560:E562)</f>
        <v>2680</v>
      </c>
      <c r="F563" s="285"/>
    </row>
    <row r="564" spans="1:10" x14ac:dyDescent="0.2">
      <c r="A564" s="290" t="s">
        <v>4</v>
      </c>
      <c r="B564" s="291" t="s">
        <v>2</v>
      </c>
      <c r="C564" s="310">
        <f>+C539</f>
        <v>70.595951999999997</v>
      </c>
      <c r="D564" s="293">
        <f>E563</f>
        <v>2680</v>
      </c>
      <c r="E564" s="293">
        <f>D564*C564/100</f>
        <v>1891.9715136</v>
      </c>
      <c r="F564" s="285"/>
    </row>
    <row r="565" spans="1:10" ht="13.5" thickBot="1" x14ac:dyDescent="0.25">
      <c r="A565" s="294" t="s">
        <v>304</v>
      </c>
      <c r="B565" s="295"/>
      <c r="C565" s="406"/>
      <c r="D565" s="296"/>
      <c r="E565" s="297">
        <f>E563+E564</f>
        <v>4571.9715135999995</v>
      </c>
    </row>
    <row r="566" spans="1:10" ht="13.5" thickBot="1" x14ac:dyDescent="0.25">
      <c r="A566" s="290" t="s">
        <v>5</v>
      </c>
      <c r="B566" s="291" t="s">
        <v>305</v>
      </c>
      <c r="C566" s="310">
        <v>1</v>
      </c>
      <c r="D566" s="293">
        <f>E565</f>
        <v>4571.9715135999995</v>
      </c>
      <c r="E566" s="293">
        <f>C566*D566</f>
        <v>4571.9715135999995</v>
      </c>
      <c r="F566" s="21">
        <f>$E$566*E567</f>
        <v>4571.9715135999995</v>
      </c>
    </row>
    <row r="567" spans="1:10" x14ac:dyDescent="0.2">
      <c r="A567" s="7"/>
      <c r="B567" s="7"/>
      <c r="C567" s="7" t="s">
        <v>368</v>
      </c>
      <c r="D567" s="285"/>
      <c r="E567" s="285">
        <f>$B$527</f>
        <v>1</v>
      </c>
      <c r="F567" s="285"/>
    </row>
    <row r="568" spans="1:10" x14ac:dyDescent="0.2">
      <c r="A568" s="7"/>
      <c r="B568" s="7"/>
      <c r="C568" s="7"/>
      <c r="D568" s="285"/>
      <c r="E568" s="285"/>
      <c r="F568" s="285"/>
    </row>
    <row r="569" spans="1:10" x14ac:dyDescent="0.2">
      <c r="A569" s="7"/>
      <c r="B569" s="7"/>
      <c r="C569" s="7"/>
      <c r="D569" s="285"/>
      <c r="E569" s="285"/>
      <c r="F569" s="285"/>
    </row>
    <row r="570" spans="1:10" x14ac:dyDescent="0.2">
      <c r="A570" s="7"/>
      <c r="B570" s="7"/>
      <c r="C570" s="7"/>
      <c r="D570" s="285"/>
      <c r="E570" s="285"/>
      <c r="F570" s="285"/>
    </row>
    <row r="571" spans="1:10" ht="13.5" thickBot="1" x14ac:dyDescent="0.25">
      <c r="A571" s="7"/>
      <c r="B571" s="7"/>
      <c r="C571" s="7"/>
      <c r="D571" s="285"/>
      <c r="E571" s="285"/>
      <c r="F571" s="9"/>
    </row>
    <row r="572" spans="1:10" ht="13.5" thickBot="1" x14ac:dyDescent="0.25">
      <c r="A572" s="412" t="s">
        <v>372</v>
      </c>
      <c r="B572" s="7"/>
      <c r="C572" s="7"/>
      <c r="D572" s="285"/>
      <c r="E572" s="285"/>
      <c r="F572" s="285"/>
    </row>
    <row r="573" spans="1:10" ht="13.5" thickBot="1" x14ac:dyDescent="0.25">
      <c r="A573" s="98" t="s">
        <v>62</v>
      </c>
      <c r="B573" s="99" t="s">
        <v>63</v>
      </c>
      <c r="C573" s="99" t="s">
        <v>40</v>
      </c>
      <c r="D573" s="100" t="s">
        <v>300</v>
      </c>
      <c r="E573" s="100" t="s">
        <v>64</v>
      </c>
      <c r="F573" s="365" t="s">
        <v>65</v>
      </c>
    </row>
    <row r="574" spans="1:10" x14ac:dyDescent="0.2">
      <c r="A574" s="16" t="s">
        <v>88</v>
      </c>
      <c r="B574" s="291" t="s">
        <v>9</v>
      </c>
      <c r="C574" s="299">
        <v>1</v>
      </c>
      <c r="D574" s="293">
        <v>5</v>
      </c>
      <c r="E574" s="293">
        <f>C574*D574</f>
        <v>5</v>
      </c>
      <c r="F574" s="9"/>
    </row>
    <row r="575" spans="1:10" x14ac:dyDescent="0.2">
      <c r="A575" s="16" t="s">
        <v>89</v>
      </c>
      <c r="B575" s="291" t="s">
        <v>9</v>
      </c>
      <c r="C575" s="299">
        <v>26</v>
      </c>
      <c r="D575" s="9"/>
      <c r="E575" s="293"/>
      <c r="F575" s="23"/>
    </row>
    <row r="576" spans="1:10" x14ac:dyDescent="0.2">
      <c r="A576" s="290" t="s">
        <v>306</v>
      </c>
      <c r="B576" s="290"/>
      <c r="C576" s="290">
        <f>$C$575*2*(C541+C553)</f>
        <v>416</v>
      </c>
      <c r="D576" s="293">
        <f>IFERROR((($C$575*2*$D$574)-(E534*0.06*C575/26))/($C$575*2),"-")</f>
        <v>3.18845</v>
      </c>
      <c r="E576" s="300">
        <f>C576*D576</f>
        <v>1326.3951999999999</v>
      </c>
      <c r="F576" s="9"/>
      <c r="G576" s="9"/>
      <c r="H576" s="19"/>
      <c r="J576" s="368"/>
    </row>
    <row r="577" spans="1:10" ht="13.5" thickBot="1" x14ac:dyDescent="0.25">
      <c r="A577" s="294" t="s">
        <v>325</v>
      </c>
      <c r="B577" s="294"/>
      <c r="C577" s="294">
        <v>52</v>
      </c>
      <c r="D577" s="297">
        <f>IFERROR((($C$575*2*$D$574)-(E560*0.06*C575/26))/($C$575*2),"-")</f>
        <v>1.907692307692308</v>
      </c>
      <c r="E577" s="411">
        <f>C577*D577</f>
        <v>99.200000000000017</v>
      </c>
      <c r="G577" s="9"/>
      <c r="H577" s="19"/>
      <c r="J577" s="368"/>
    </row>
    <row r="578" spans="1:10" ht="13.5" thickBot="1" x14ac:dyDescent="0.25">
      <c r="A578" s="311" t="s">
        <v>375</v>
      </c>
      <c r="B578" s="306"/>
      <c r="C578" s="306"/>
      <c r="D578" s="307"/>
      <c r="E578" s="308">
        <f>SUM(E576:E577)</f>
        <v>1425.5952</v>
      </c>
      <c r="F578" s="414">
        <f>$E$578*B527</f>
        <v>1425.5952</v>
      </c>
      <c r="G578" s="9"/>
      <c r="H578" s="19"/>
      <c r="J578" s="368"/>
    </row>
    <row r="579" spans="1:10" x14ac:dyDescent="0.2">
      <c r="A579" s="7"/>
      <c r="B579" s="7"/>
      <c r="C579" s="7" t="s">
        <v>368</v>
      </c>
      <c r="D579" s="285"/>
      <c r="E579" s="285">
        <f>$B$527</f>
        <v>1</v>
      </c>
      <c r="F579" s="338"/>
      <c r="G579" s="9"/>
      <c r="H579" s="19"/>
      <c r="J579" s="368"/>
    </row>
    <row r="580" spans="1:10" ht="13.5" thickBot="1" x14ac:dyDescent="0.25">
      <c r="A580" s="7"/>
      <c r="B580" s="7"/>
      <c r="C580" s="7"/>
      <c r="D580" s="285"/>
      <c r="E580" s="285"/>
      <c r="F580" s="285"/>
      <c r="G580" s="9"/>
      <c r="H580" s="19"/>
      <c r="J580" s="368"/>
    </row>
    <row r="581" spans="1:10" ht="13.5" thickBot="1" x14ac:dyDescent="0.25">
      <c r="A581" s="412" t="s">
        <v>374</v>
      </c>
      <c r="B581" s="7"/>
      <c r="C581" s="7"/>
      <c r="D581" s="285"/>
      <c r="E581" s="285"/>
      <c r="F581" s="9"/>
      <c r="G581" s="9"/>
      <c r="H581" s="19"/>
      <c r="J581" s="368"/>
    </row>
    <row r="582" spans="1:10" ht="13.5" thickBot="1" x14ac:dyDescent="0.25">
      <c r="A582" s="98" t="s">
        <v>62</v>
      </c>
      <c r="B582" s="99" t="s">
        <v>63</v>
      </c>
      <c r="C582" s="99" t="s">
        <v>40</v>
      </c>
      <c r="D582" s="100" t="s">
        <v>300</v>
      </c>
      <c r="E582" s="100" t="s">
        <v>64</v>
      </c>
      <c r="F582" s="59" t="s">
        <v>65</v>
      </c>
      <c r="G582" s="9"/>
      <c r="H582" s="19"/>
      <c r="J582" s="368"/>
    </row>
    <row r="583" spans="1:10" x14ac:dyDescent="0.2">
      <c r="A583" s="290" t="s">
        <v>370</v>
      </c>
      <c r="B583" s="291" t="s">
        <v>9</v>
      </c>
      <c r="C583" s="299">
        <f>C560</f>
        <v>1</v>
      </c>
      <c r="D583" s="293">
        <f>$D$224</f>
        <v>19.18</v>
      </c>
      <c r="E583" s="300"/>
      <c r="F583" s="285"/>
      <c r="G583" s="1"/>
      <c r="H583" s="387"/>
      <c r="J583" s="368"/>
    </row>
    <row r="584" spans="1:10" x14ac:dyDescent="0.2">
      <c r="A584" s="290" t="str">
        <f>+A575</f>
        <v>Dias Trabalhados por mês</v>
      </c>
      <c r="B584" s="291" t="s">
        <v>377</v>
      </c>
      <c r="C584" s="299">
        <v>26</v>
      </c>
      <c r="E584" s="300"/>
      <c r="G584" s="9"/>
      <c r="H584" s="19"/>
      <c r="J584" s="368"/>
    </row>
    <row r="585" spans="1:10" x14ac:dyDescent="0.2">
      <c r="A585" s="271" t="s">
        <v>325</v>
      </c>
      <c r="B585" s="291" t="s">
        <v>9</v>
      </c>
      <c r="C585" s="290">
        <v>26</v>
      </c>
      <c r="D585" s="300">
        <f>$D$583</f>
        <v>19.18</v>
      </c>
      <c r="E585" s="300">
        <f>C585*D585</f>
        <v>498.68</v>
      </c>
      <c r="G585" s="9"/>
      <c r="H585" s="19"/>
      <c r="J585" s="368"/>
    </row>
    <row r="586" spans="1:10" ht="13.5" thickBot="1" x14ac:dyDescent="0.25">
      <c r="A586" s="294" t="s">
        <v>373</v>
      </c>
      <c r="B586" s="416" t="s">
        <v>9</v>
      </c>
      <c r="C586" s="294">
        <v>208</v>
      </c>
      <c r="D586" s="411">
        <f>$D$583</f>
        <v>19.18</v>
      </c>
      <c r="E586" s="411">
        <f>C586*D586</f>
        <v>3989.44</v>
      </c>
      <c r="G586" s="9"/>
      <c r="H586" s="19"/>
      <c r="J586" s="388"/>
    </row>
    <row r="587" spans="1:10" ht="13.5" thickBot="1" x14ac:dyDescent="0.25">
      <c r="A587" s="311" t="s">
        <v>376</v>
      </c>
      <c r="B587" s="306"/>
      <c r="C587" s="306"/>
      <c r="D587" s="307"/>
      <c r="E587" s="415">
        <f>SUM(E585:E586)</f>
        <v>4488.12</v>
      </c>
      <c r="F587" s="301">
        <f>E587*E588</f>
        <v>4488.12</v>
      </c>
      <c r="G587" s="9"/>
      <c r="H587" s="19"/>
      <c r="J587" s="388"/>
    </row>
    <row r="588" spans="1:10" x14ac:dyDescent="0.2">
      <c r="A588" s="7"/>
      <c r="B588" s="7"/>
      <c r="C588" s="7" t="s">
        <v>368</v>
      </c>
      <c r="D588" s="285"/>
      <c r="E588" s="285">
        <f>$B$527</f>
        <v>1</v>
      </c>
      <c r="F588" s="338"/>
    </row>
    <row r="589" spans="1:10" x14ac:dyDescent="0.2">
      <c r="A589" s="7"/>
      <c r="B589" s="7"/>
      <c r="C589" s="7"/>
      <c r="D589" s="285"/>
      <c r="E589" s="285"/>
      <c r="F589" s="338"/>
    </row>
    <row r="590" spans="1:10" ht="13.5" thickBot="1" x14ac:dyDescent="0.25">
      <c r="A590" s="7" t="s">
        <v>552</v>
      </c>
      <c r="B590" s="7" t="s">
        <v>557</v>
      </c>
      <c r="F590" s="23"/>
    </row>
    <row r="591" spans="1:10" ht="13.5" thickBot="1" x14ac:dyDescent="0.25">
      <c r="A591" s="56" t="s">
        <v>62</v>
      </c>
      <c r="B591" s="57" t="s">
        <v>63</v>
      </c>
      <c r="C591" s="57" t="s">
        <v>40</v>
      </c>
      <c r="D591" s="58" t="s">
        <v>225</v>
      </c>
      <c r="E591" s="58" t="s">
        <v>64</v>
      </c>
      <c r="F591" s="59" t="s">
        <v>65</v>
      </c>
    </row>
    <row r="592" spans="1:10" ht="13.5" thickBot="1" x14ac:dyDescent="0.25">
      <c r="A592" s="290" t="s">
        <v>550</v>
      </c>
      <c r="B592" s="17" t="s">
        <v>10</v>
      </c>
      <c r="C592" s="502">
        <f>E522</f>
        <v>9</v>
      </c>
      <c r="D592" s="83">
        <v>22.5</v>
      </c>
      <c r="E592" s="48">
        <f>C592*D592</f>
        <v>202.5</v>
      </c>
      <c r="F592" s="23"/>
    </row>
    <row r="593" spans="1:6" ht="13.5" thickBot="1" x14ac:dyDescent="0.25">
      <c r="A593" s="16"/>
      <c r="B593" s="17"/>
      <c r="C593" s="91"/>
      <c r="D593" s="77"/>
      <c r="E593" s="353"/>
      <c r="F593" s="417">
        <f>E592/12</f>
        <v>16.875</v>
      </c>
    </row>
    <row r="594" spans="1:6" x14ac:dyDescent="0.2">
      <c r="B594" s="19"/>
      <c r="C594" s="503"/>
      <c r="D594" s="51"/>
      <c r="E594" s="55"/>
      <c r="F594" s="504"/>
    </row>
    <row r="595" spans="1:6" x14ac:dyDescent="0.2">
      <c r="A595" s="7"/>
      <c r="B595" s="7"/>
      <c r="C595" s="7"/>
      <c r="D595" s="285"/>
      <c r="E595" s="285"/>
      <c r="F595" s="338"/>
    </row>
    <row r="596" spans="1:6" ht="13.5" thickBot="1" x14ac:dyDescent="0.25">
      <c r="A596" s="7" t="s">
        <v>564</v>
      </c>
      <c r="F596" s="23"/>
    </row>
    <row r="597" spans="1:6" ht="13.5" thickBot="1" x14ac:dyDescent="0.25">
      <c r="A597" s="56" t="s">
        <v>62</v>
      </c>
      <c r="B597" s="57" t="s">
        <v>63</v>
      </c>
      <c r="C597" s="57" t="s">
        <v>40</v>
      </c>
      <c r="D597" s="58" t="s">
        <v>225</v>
      </c>
      <c r="E597" s="58" t="s">
        <v>64</v>
      </c>
      <c r="F597" s="59" t="s">
        <v>65</v>
      </c>
    </row>
    <row r="598" spans="1:6" ht="13.5" thickBot="1" x14ac:dyDescent="0.25">
      <c r="A598" s="290" t="s">
        <v>551</v>
      </c>
      <c r="B598" s="17" t="s">
        <v>10</v>
      </c>
      <c r="C598" s="91">
        <f>E522</f>
        <v>9</v>
      </c>
      <c r="D598" s="83">
        <v>19.420000000000002</v>
      </c>
      <c r="E598" s="48">
        <f>C598*D598</f>
        <v>174.78000000000003</v>
      </c>
      <c r="F598" s="23"/>
    </row>
    <row r="599" spans="1:6" ht="13.5" thickBot="1" x14ac:dyDescent="0.25">
      <c r="A599" s="16"/>
      <c r="B599" s="17"/>
      <c r="C599" s="91"/>
      <c r="D599" s="77"/>
      <c r="E599" s="353"/>
      <c r="F599" s="417">
        <f>E598</f>
        <v>174.78000000000003</v>
      </c>
    </row>
    <row r="600" spans="1:6" x14ac:dyDescent="0.2">
      <c r="B600" s="19"/>
      <c r="C600" s="503"/>
      <c r="D600" s="51"/>
      <c r="E600" s="55"/>
      <c r="F600" s="23"/>
    </row>
    <row r="601" spans="1:6" x14ac:dyDescent="0.2">
      <c r="B601" s="19"/>
      <c r="C601" s="503"/>
      <c r="D601" s="51"/>
      <c r="E601" s="55"/>
      <c r="F601" s="23"/>
    </row>
    <row r="602" spans="1:6" ht="13.5" thickBot="1" x14ac:dyDescent="0.25">
      <c r="A602" s="7"/>
      <c r="B602" s="7"/>
      <c r="C602" s="7"/>
      <c r="D602" s="285"/>
      <c r="E602" s="285"/>
    </row>
    <row r="603" spans="1:6" ht="13.5" thickBot="1" x14ac:dyDescent="0.25">
      <c r="A603" s="24" t="s">
        <v>307</v>
      </c>
      <c r="B603" s="25"/>
      <c r="C603" s="25"/>
      <c r="D603" s="26"/>
      <c r="E603" s="27"/>
      <c r="F603" s="22">
        <f>SUM(F533:F599)</f>
        <v>40675.124980746245</v>
      </c>
    </row>
    <row r="604" spans="1:6" x14ac:dyDescent="0.2">
      <c r="A604" s="7"/>
      <c r="B604" s="7"/>
      <c r="C604" s="7"/>
      <c r="D604" s="285"/>
      <c r="E604" s="285"/>
      <c r="F604" s="285" t="s">
        <v>553</v>
      </c>
    </row>
    <row r="605" spans="1:6" x14ac:dyDescent="0.2">
      <c r="A605" s="11" t="s">
        <v>45</v>
      </c>
      <c r="B605" s="7"/>
      <c r="C605" s="7"/>
      <c r="D605" s="285"/>
      <c r="E605" s="285"/>
      <c r="F605" s="285"/>
    </row>
    <row r="606" spans="1:6" x14ac:dyDescent="0.2">
      <c r="A606" s="7"/>
      <c r="B606" s="7"/>
      <c r="C606" s="7"/>
      <c r="D606" s="285"/>
      <c r="E606" s="285"/>
      <c r="F606" s="285"/>
    </row>
    <row r="607" spans="1:6" ht="13.5" thickBot="1" x14ac:dyDescent="0.25">
      <c r="A607" s="7" t="s">
        <v>308</v>
      </c>
      <c r="B607" s="7"/>
      <c r="C607" s="7"/>
      <c r="D607" s="285"/>
      <c r="E607" s="285"/>
      <c r="F607" s="304"/>
    </row>
    <row r="608" spans="1:6" ht="24.75" thickBot="1" x14ac:dyDescent="0.25">
      <c r="A608" s="56" t="s">
        <v>62</v>
      </c>
      <c r="B608" s="57" t="s">
        <v>63</v>
      </c>
      <c r="C608" s="239" t="s">
        <v>241</v>
      </c>
      <c r="D608" s="58" t="s">
        <v>225</v>
      </c>
      <c r="E608" s="58" t="s">
        <v>64</v>
      </c>
      <c r="F608" s="59" t="s">
        <v>65</v>
      </c>
    </row>
    <row r="609" spans="1:6" x14ac:dyDescent="0.2">
      <c r="A609" s="271" t="s">
        <v>66</v>
      </c>
      <c r="B609" s="288" t="s">
        <v>10</v>
      </c>
      <c r="C609" s="312">
        <v>12</v>
      </c>
      <c r="D609" s="289">
        <v>62.52</v>
      </c>
      <c r="E609" s="289">
        <f t="shared" ref="E609:E618" si="3">IFERROR(D609/C609,0)</f>
        <v>5.21</v>
      </c>
      <c r="F609" s="285"/>
    </row>
    <row r="610" spans="1:6" x14ac:dyDescent="0.2">
      <c r="A610" s="290" t="s">
        <v>28</v>
      </c>
      <c r="B610" s="291" t="s">
        <v>10</v>
      </c>
      <c r="C610" s="312">
        <v>4</v>
      </c>
      <c r="D610" s="293">
        <v>77.900000000000006</v>
      </c>
      <c r="E610" s="293">
        <f t="shared" si="3"/>
        <v>19.475000000000001</v>
      </c>
      <c r="F610" s="285"/>
    </row>
    <row r="611" spans="1:6" x14ac:dyDescent="0.2">
      <c r="A611" s="290" t="s">
        <v>309</v>
      </c>
      <c r="B611" s="291" t="s">
        <v>10</v>
      </c>
      <c r="C611" s="312">
        <v>6</v>
      </c>
      <c r="D611" s="293">
        <v>46.99</v>
      </c>
      <c r="E611" s="293">
        <f t="shared" si="3"/>
        <v>7.831666666666667</v>
      </c>
      <c r="F611" s="285"/>
    </row>
    <row r="612" spans="1:6" x14ac:dyDescent="0.2">
      <c r="A612" s="290" t="s">
        <v>30</v>
      </c>
      <c r="B612" s="291" t="s">
        <v>10</v>
      </c>
      <c r="C612" s="312">
        <v>4</v>
      </c>
      <c r="D612" s="293">
        <v>20.99</v>
      </c>
      <c r="E612" s="293">
        <f t="shared" si="3"/>
        <v>5.2474999999999996</v>
      </c>
      <c r="F612" s="9"/>
    </row>
    <row r="613" spans="1:6" x14ac:dyDescent="0.2">
      <c r="A613" s="290" t="s">
        <v>310</v>
      </c>
      <c r="B613" s="291" t="s">
        <v>48</v>
      </c>
      <c r="C613" s="312">
        <v>6</v>
      </c>
      <c r="D613" s="293">
        <v>59.9</v>
      </c>
      <c r="E613" s="293">
        <f t="shared" si="3"/>
        <v>9.9833333333333325</v>
      </c>
      <c r="F613" s="285"/>
    </row>
    <row r="614" spans="1:6" x14ac:dyDescent="0.2">
      <c r="A614" s="290" t="s">
        <v>92</v>
      </c>
      <c r="B614" s="291" t="s">
        <v>48</v>
      </c>
      <c r="C614" s="312">
        <v>3</v>
      </c>
      <c r="D614" s="293">
        <v>10.98</v>
      </c>
      <c r="E614" s="293">
        <f t="shared" si="3"/>
        <v>3.66</v>
      </c>
      <c r="F614" s="285"/>
    </row>
    <row r="615" spans="1:6" x14ac:dyDescent="0.2">
      <c r="A615" s="290" t="s">
        <v>67</v>
      </c>
      <c r="B615" s="291" t="s">
        <v>10</v>
      </c>
      <c r="C615" s="312">
        <v>4</v>
      </c>
      <c r="D615" s="293">
        <v>39.659999999999997</v>
      </c>
      <c r="E615" s="293">
        <f t="shared" si="3"/>
        <v>9.9149999999999991</v>
      </c>
      <c r="F615" s="285"/>
    </row>
    <row r="616" spans="1:6" x14ac:dyDescent="0.2">
      <c r="A616" s="302" t="s">
        <v>11</v>
      </c>
      <c r="B616" s="303" t="s">
        <v>10</v>
      </c>
      <c r="C616" s="312">
        <v>12</v>
      </c>
      <c r="D616" s="293">
        <v>54.96</v>
      </c>
      <c r="E616" s="293">
        <f t="shared" si="3"/>
        <v>4.58</v>
      </c>
      <c r="F616" s="9"/>
    </row>
    <row r="617" spans="1:6" x14ac:dyDescent="0.2">
      <c r="A617" s="290" t="s">
        <v>31</v>
      </c>
      <c r="B617" s="291" t="s">
        <v>48</v>
      </c>
      <c r="C617" s="312">
        <v>1</v>
      </c>
      <c r="D617" s="293">
        <f>D265</f>
        <v>5.0199999999999996</v>
      </c>
      <c r="E617" s="293">
        <f>IFERROR(D617/C617,0)</f>
        <v>5.0199999999999996</v>
      </c>
      <c r="F617" s="285"/>
    </row>
    <row r="618" spans="1:6" x14ac:dyDescent="0.2">
      <c r="A618" s="290" t="s">
        <v>61</v>
      </c>
      <c r="B618" s="291" t="s">
        <v>49</v>
      </c>
      <c r="C618" s="312">
        <v>1.5</v>
      </c>
      <c r="D618" s="293">
        <v>35</v>
      </c>
      <c r="E618" s="293">
        <f t="shared" si="3"/>
        <v>23.333333333333332</v>
      </c>
    </row>
    <row r="619" spans="1:6" ht="13.5" thickBot="1" x14ac:dyDescent="0.25">
      <c r="A619" s="290" t="s">
        <v>311</v>
      </c>
      <c r="B619" s="291" t="s">
        <v>8</v>
      </c>
      <c r="C619" s="312">
        <v>1</v>
      </c>
      <c r="D619" s="293">
        <v>100</v>
      </c>
      <c r="E619" s="293">
        <f>IFERROR(D619/C619,0)</f>
        <v>100</v>
      </c>
    </row>
    <row r="620" spans="1:6" ht="13.5" thickBot="1" x14ac:dyDescent="0.25">
      <c r="A620" s="290" t="s">
        <v>5</v>
      </c>
      <c r="B620" s="291" t="s">
        <v>312</v>
      </c>
      <c r="C620" s="298">
        <f>C541+C553</f>
        <v>8</v>
      </c>
      <c r="D620" s="293">
        <f>+SUM(E609:E619)</f>
        <v>194.25583333333333</v>
      </c>
      <c r="E620" s="293">
        <f>C620*D620</f>
        <v>1554.0466666666666</v>
      </c>
      <c r="F620" s="386">
        <f>E620</f>
        <v>1554.0466666666666</v>
      </c>
    </row>
    <row r="621" spans="1:6" x14ac:dyDescent="0.2">
      <c r="A621" s="7"/>
      <c r="B621" s="305"/>
      <c r="C621" s="7" t="s">
        <v>368</v>
      </c>
      <c r="D621" s="285"/>
      <c r="E621" s="285">
        <f>$B$527</f>
        <v>1</v>
      </c>
      <c r="F621" s="285"/>
    </row>
    <row r="622" spans="1:6" x14ac:dyDescent="0.2">
      <c r="A622" s="7"/>
      <c r="B622" s="7"/>
      <c r="C622" s="7"/>
      <c r="D622" s="285"/>
      <c r="E622" s="285"/>
      <c r="F622" s="285"/>
    </row>
    <row r="623" spans="1:6" ht="13.5" thickBot="1" x14ac:dyDescent="0.25">
      <c r="A623" s="7" t="s">
        <v>364</v>
      </c>
      <c r="B623" s="7"/>
      <c r="C623" s="7"/>
      <c r="D623" s="285"/>
      <c r="E623" s="285"/>
      <c r="F623" s="285"/>
    </row>
    <row r="624" spans="1:6" ht="24.75" thickBot="1" x14ac:dyDescent="0.25">
      <c r="A624" s="56" t="s">
        <v>62</v>
      </c>
      <c r="B624" s="57" t="s">
        <v>63</v>
      </c>
      <c r="C624" s="239" t="s">
        <v>241</v>
      </c>
      <c r="D624" s="58" t="s">
        <v>225</v>
      </c>
      <c r="E624" s="58" t="s">
        <v>64</v>
      </c>
      <c r="F624" s="413" t="s">
        <v>378</v>
      </c>
    </row>
    <row r="625" spans="1:6" x14ac:dyDescent="0.2">
      <c r="A625" s="271" t="s">
        <v>66</v>
      </c>
      <c r="B625" s="288" t="s">
        <v>10</v>
      </c>
      <c r="C625" s="312">
        <v>12</v>
      </c>
      <c r="D625" s="289">
        <f>+D609</f>
        <v>62.52</v>
      </c>
      <c r="E625" s="289">
        <f>IFERROR(D625/C625,)</f>
        <v>5.21</v>
      </c>
      <c r="F625" s="285"/>
    </row>
    <row r="626" spans="1:6" x14ac:dyDescent="0.2">
      <c r="A626" s="290" t="s">
        <v>28</v>
      </c>
      <c r="B626" s="291" t="s">
        <v>10</v>
      </c>
      <c r="C626" s="312">
        <v>6</v>
      </c>
      <c r="D626" s="293">
        <f>+D610</f>
        <v>77.900000000000006</v>
      </c>
      <c r="E626" s="293">
        <f t="shared" ref="E626:E631" si="4">IFERROR(D626/C626,0)</f>
        <v>12.983333333333334</v>
      </c>
      <c r="F626" s="9"/>
    </row>
    <row r="627" spans="1:6" x14ac:dyDescent="0.2">
      <c r="A627" s="290" t="s">
        <v>365</v>
      </c>
      <c r="B627" s="291" t="s">
        <v>10</v>
      </c>
      <c r="C627" s="312">
        <v>6</v>
      </c>
      <c r="D627" s="293">
        <f>+D611</f>
        <v>46.99</v>
      </c>
      <c r="E627" s="293">
        <f t="shared" si="4"/>
        <v>7.831666666666667</v>
      </c>
      <c r="F627" s="285"/>
    </row>
    <row r="628" spans="1:6" x14ac:dyDescent="0.2">
      <c r="A628" s="290" t="s">
        <v>310</v>
      </c>
      <c r="B628" s="291" t="s">
        <v>48</v>
      </c>
      <c r="C628" s="312">
        <v>12</v>
      </c>
      <c r="D628" s="293">
        <f>+D613</f>
        <v>59.9</v>
      </c>
      <c r="E628" s="293">
        <f t="shared" si="4"/>
        <v>4.9916666666666663</v>
      </c>
      <c r="F628" s="285"/>
    </row>
    <row r="629" spans="1:6" x14ac:dyDescent="0.2">
      <c r="A629" s="290" t="s">
        <v>67</v>
      </c>
      <c r="B629" s="291" t="s">
        <v>10</v>
      </c>
      <c r="C629" s="312">
        <v>6</v>
      </c>
      <c r="D629" s="293">
        <f>+D615</f>
        <v>39.659999999999997</v>
      </c>
      <c r="E629" s="293">
        <f t="shared" si="4"/>
        <v>6.6099999999999994</v>
      </c>
      <c r="F629" s="285"/>
    </row>
    <row r="630" spans="1:6" x14ac:dyDescent="0.2">
      <c r="A630" s="290" t="s">
        <v>61</v>
      </c>
      <c r="B630" s="291" t="s">
        <v>49</v>
      </c>
      <c r="C630" s="312">
        <v>1</v>
      </c>
      <c r="D630" s="293">
        <f>+D618</f>
        <v>35</v>
      </c>
      <c r="E630" s="293">
        <f t="shared" si="4"/>
        <v>35</v>
      </c>
    </row>
    <row r="631" spans="1:6" ht="13.5" thickBot="1" x14ac:dyDescent="0.25">
      <c r="A631" s="290" t="s">
        <v>311</v>
      </c>
      <c r="B631" s="291" t="s">
        <v>8</v>
      </c>
      <c r="C631" s="312">
        <v>1</v>
      </c>
      <c r="D631" s="293">
        <v>100</v>
      </c>
      <c r="E631" s="293">
        <f t="shared" si="4"/>
        <v>100</v>
      </c>
    </row>
    <row r="632" spans="1:6" ht="13.5" thickBot="1" x14ac:dyDescent="0.25">
      <c r="A632" s="290" t="s">
        <v>5</v>
      </c>
      <c r="B632" s="291" t="s">
        <v>312</v>
      </c>
      <c r="C632" s="312">
        <f>C560</f>
        <v>1</v>
      </c>
      <c r="D632" s="293">
        <f>+SUM(E625:E631)</f>
        <v>172.62666666666667</v>
      </c>
      <c r="E632" s="293">
        <f>C632*D632</f>
        <v>172.62666666666667</v>
      </c>
      <c r="F632" s="21">
        <f>+E632*E633</f>
        <v>172.62666666666667</v>
      </c>
    </row>
    <row r="633" spans="1:6" x14ac:dyDescent="0.2">
      <c r="A633" s="7"/>
      <c r="B633" s="295"/>
      <c r="C633" s="7" t="s">
        <v>368</v>
      </c>
      <c r="D633" s="285"/>
      <c r="E633" s="285">
        <f>$B$527</f>
        <v>1</v>
      </c>
      <c r="F633" s="285"/>
    </row>
    <row r="634" spans="1:6" x14ac:dyDescent="0.2">
      <c r="A634" s="7"/>
      <c r="B634" s="7"/>
      <c r="C634" s="7"/>
      <c r="D634" s="285"/>
      <c r="E634" s="285"/>
    </row>
    <row r="635" spans="1:6" ht="13.5" thickBot="1" x14ac:dyDescent="0.25">
      <c r="A635" s="7"/>
      <c r="B635" s="7"/>
      <c r="C635" s="7"/>
      <c r="D635" s="285"/>
      <c r="E635" s="285"/>
    </row>
    <row r="636" spans="1:6" ht="13.5" thickBot="1" x14ac:dyDescent="0.25">
      <c r="A636" s="24" t="s">
        <v>313</v>
      </c>
      <c r="B636" s="306"/>
      <c r="C636" s="306"/>
      <c r="D636" s="307"/>
      <c r="E636" s="308"/>
      <c r="F636" s="417">
        <f>SUM(F620+F632)</f>
        <v>1726.6733333333332</v>
      </c>
    </row>
    <row r="637" spans="1:6" x14ac:dyDescent="0.2">
      <c r="A637" s="11"/>
      <c r="B637" s="7"/>
      <c r="C637" s="7"/>
      <c r="D637" s="286"/>
      <c r="E637" s="286"/>
      <c r="F637" s="285"/>
    </row>
    <row r="638" spans="1:6" x14ac:dyDescent="0.2">
      <c r="A638" s="7"/>
      <c r="B638" s="7"/>
      <c r="C638" s="7"/>
      <c r="D638" s="285"/>
      <c r="E638" s="285"/>
      <c r="F638" s="285"/>
    </row>
    <row r="639" spans="1:6" x14ac:dyDescent="0.2">
      <c r="A639" s="7"/>
      <c r="B639" s="7"/>
      <c r="C639" s="295"/>
      <c r="D639" s="377"/>
      <c r="E639" s="408"/>
      <c r="F639" s="32"/>
    </row>
    <row r="640" spans="1:6" x14ac:dyDescent="0.2">
      <c r="A640" s="425" t="s">
        <v>519</v>
      </c>
      <c r="B640" s="7"/>
      <c r="C640" s="295"/>
      <c r="D640" s="377"/>
      <c r="E640" s="408"/>
      <c r="F640" s="285"/>
    </row>
    <row r="641" spans="1:6" ht="13.5" thickBot="1" x14ac:dyDescent="0.25">
      <c r="A641" s="7"/>
      <c r="B641" s="295"/>
      <c r="C641" s="295"/>
      <c r="D641" s="410"/>
      <c r="E641" s="410"/>
      <c r="F641" s="285"/>
    </row>
    <row r="642" spans="1:6" ht="13.5" thickBot="1" x14ac:dyDescent="0.25">
      <c r="A642" s="98" t="s">
        <v>62</v>
      </c>
      <c r="B642" s="99" t="s">
        <v>63</v>
      </c>
      <c r="C642" s="99" t="s">
        <v>40</v>
      </c>
      <c r="D642" s="100" t="s">
        <v>225</v>
      </c>
      <c r="E642" s="100" t="s">
        <v>64</v>
      </c>
      <c r="F642" s="59" t="s">
        <v>65</v>
      </c>
    </row>
    <row r="643" spans="1:6" x14ac:dyDescent="0.2">
      <c r="A643" s="290" t="s">
        <v>532</v>
      </c>
      <c r="B643" s="291" t="s">
        <v>516</v>
      </c>
      <c r="C643" s="455">
        <v>8</v>
      </c>
      <c r="D643" s="81">
        <v>33.96</v>
      </c>
      <c r="E643" s="293">
        <f t="shared" ref="E643:E649" si="5">C643*D643</f>
        <v>271.68</v>
      </c>
      <c r="F643" s="285"/>
    </row>
    <row r="644" spans="1:6" x14ac:dyDescent="0.2">
      <c r="A644" s="290" t="s">
        <v>535</v>
      </c>
      <c r="B644" s="291" t="s">
        <v>536</v>
      </c>
      <c r="C644" s="90">
        <v>0.33333333333333331</v>
      </c>
      <c r="D644" s="81">
        <v>50</v>
      </c>
      <c r="E644" s="293">
        <f>C644*D644</f>
        <v>16.666666666666664</v>
      </c>
      <c r="F644" s="285"/>
    </row>
    <row r="645" spans="1:6" x14ac:dyDescent="0.2">
      <c r="A645" s="290" t="s">
        <v>537</v>
      </c>
      <c r="B645" s="291" t="s">
        <v>536</v>
      </c>
      <c r="C645" s="90">
        <v>0.83333333333333337</v>
      </c>
      <c r="D645" s="81">
        <v>50</v>
      </c>
      <c r="E645" s="293">
        <f>C645*D645</f>
        <v>41.666666666666671</v>
      </c>
      <c r="F645" s="285"/>
    </row>
    <row r="646" spans="1:6" x14ac:dyDescent="0.2">
      <c r="A646" s="290" t="s">
        <v>549</v>
      </c>
      <c r="B646" s="291" t="s">
        <v>516</v>
      </c>
      <c r="C646" s="455">
        <v>8</v>
      </c>
      <c r="D646" s="10">
        <v>27.4</v>
      </c>
      <c r="E646" s="293">
        <f t="shared" si="5"/>
        <v>219.2</v>
      </c>
      <c r="F646" s="285"/>
    </row>
    <row r="647" spans="1:6" x14ac:dyDescent="0.2">
      <c r="A647" s="290" t="s">
        <v>548</v>
      </c>
      <c r="B647" s="291" t="s">
        <v>516</v>
      </c>
      <c r="C647" s="374">
        <v>2.6666666666666665</v>
      </c>
      <c r="D647" s="375">
        <v>52.76</v>
      </c>
      <c r="E647" s="293">
        <f t="shared" si="5"/>
        <v>140.69333333333333</v>
      </c>
      <c r="F647" s="285"/>
    </row>
    <row r="648" spans="1:6" x14ac:dyDescent="0.2">
      <c r="A648" s="290" t="s">
        <v>538</v>
      </c>
      <c r="B648" s="291" t="s">
        <v>516</v>
      </c>
      <c r="C648" s="456">
        <v>2</v>
      </c>
      <c r="D648" s="293">
        <v>23.83</v>
      </c>
      <c r="E648" s="293">
        <f t="shared" si="5"/>
        <v>47.66</v>
      </c>
      <c r="F648" s="285"/>
    </row>
    <row r="649" spans="1:6" x14ac:dyDescent="0.2">
      <c r="A649" s="290" t="s">
        <v>539</v>
      </c>
      <c r="B649" s="291" t="s">
        <v>516</v>
      </c>
      <c r="C649" s="90">
        <v>0.33333333333333331</v>
      </c>
      <c r="D649" s="293">
        <v>61.34</v>
      </c>
      <c r="E649" s="293">
        <f t="shared" si="5"/>
        <v>20.446666666666665</v>
      </c>
    </row>
    <row r="650" spans="1:6" x14ac:dyDescent="0.2">
      <c r="A650" s="290" t="s">
        <v>604</v>
      </c>
      <c r="B650" s="291" t="s">
        <v>516</v>
      </c>
      <c r="C650" s="90">
        <v>416</v>
      </c>
      <c r="D650" s="293">
        <v>0.47</v>
      </c>
      <c r="E650" s="293">
        <f>C650*D650</f>
        <v>195.51999999999998</v>
      </c>
    </row>
    <row r="651" spans="1:6" x14ac:dyDescent="0.2">
      <c r="A651" s="290" t="s">
        <v>540</v>
      </c>
      <c r="B651" s="291" t="s">
        <v>516</v>
      </c>
      <c r="C651" s="90">
        <v>1.6659999999999999</v>
      </c>
      <c r="D651" s="422">
        <v>323.81</v>
      </c>
      <c r="E651" s="293">
        <f>C651*D651</f>
        <v>539.46745999999996</v>
      </c>
    </row>
    <row r="652" spans="1:6" x14ac:dyDescent="0.2">
      <c r="A652" s="290" t="s">
        <v>541</v>
      </c>
      <c r="B652" s="291" t="s">
        <v>516</v>
      </c>
      <c r="C652" s="90">
        <v>0.66666666666666663</v>
      </c>
      <c r="D652" s="293">
        <v>283.8</v>
      </c>
      <c r="E652" s="293">
        <f>C652*D652</f>
        <v>189.2</v>
      </c>
    </row>
    <row r="653" spans="1:6" x14ac:dyDescent="0.2">
      <c r="A653" s="290" t="s">
        <v>543</v>
      </c>
      <c r="B653" s="291" t="s">
        <v>518</v>
      </c>
      <c r="C653" s="495">
        <v>0.33333333333333331</v>
      </c>
      <c r="D653" s="293">
        <f>D651</f>
        <v>323.81</v>
      </c>
      <c r="E653" s="293">
        <f>C653*D653</f>
        <v>107.93666666666667</v>
      </c>
    </row>
    <row r="654" spans="1:6" ht="13.5" thickBot="1" x14ac:dyDescent="0.25">
      <c r="A654" s="290" t="s">
        <v>542</v>
      </c>
      <c r="B654" s="291" t="s">
        <v>518</v>
      </c>
      <c r="C654" s="90">
        <v>0.13333333333333333</v>
      </c>
      <c r="D654" s="293">
        <f>D652</f>
        <v>283.8</v>
      </c>
      <c r="E654" s="293">
        <f>C654*D654</f>
        <v>37.840000000000003</v>
      </c>
    </row>
    <row r="655" spans="1:6" ht="13.5" thickBot="1" x14ac:dyDescent="0.25">
      <c r="A655" s="493" t="s">
        <v>381</v>
      </c>
      <c r="B655" s="291"/>
      <c r="C655" s="494"/>
      <c r="D655" s="492"/>
      <c r="E655" s="492">
        <f>SUM(E643:E654)</f>
        <v>1827.9774600000001</v>
      </c>
      <c r="F655" s="424">
        <f>$E$655*E656</f>
        <v>1827.9774600000001</v>
      </c>
    </row>
    <row r="656" spans="1:6" ht="13.5" thickBot="1" x14ac:dyDescent="0.25">
      <c r="A656" s="380"/>
      <c r="B656" s="7"/>
      <c r="C656" s="295"/>
      <c r="D656" s="377" t="s">
        <v>188</v>
      </c>
      <c r="E656" s="378">
        <f>$B$527</f>
        <v>1</v>
      </c>
      <c r="F656" s="449"/>
    </row>
    <row r="657" spans="1:7" x14ac:dyDescent="0.2">
      <c r="A657" s="7"/>
      <c r="B657" s="295"/>
      <c r="C657" s="295"/>
      <c r="D657" s="410"/>
      <c r="E657" s="9"/>
      <c r="F657" s="338"/>
    </row>
    <row r="658" spans="1:7" x14ac:dyDescent="0.2">
      <c r="A658" s="7" t="s">
        <v>530</v>
      </c>
      <c r="B658" s="295"/>
      <c r="C658" s="295"/>
      <c r="D658" s="410"/>
      <c r="E658" s="9"/>
      <c r="F658" s="338"/>
    </row>
    <row r="659" spans="1:7" ht="13.5" thickBot="1" x14ac:dyDescent="0.25">
      <c r="A659" s="7"/>
      <c r="B659" s="295"/>
      <c r="C659" s="295"/>
      <c r="D659" s="410"/>
      <c r="E659" s="9"/>
    </row>
    <row r="660" spans="1:7" ht="13.5" thickBot="1" x14ac:dyDescent="0.25">
      <c r="A660" s="311" t="s">
        <v>560</v>
      </c>
      <c r="B660" s="423"/>
      <c r="C660" s="423"/>
      <c r="D660" s="431"/>
      <c r="E660" s="432"/>
      <c r="F660" s="433">
        <v>1850</v>
      </c>
    </row>
    <row r="661" spans="1:7" x14ac:dyDescent="0.2">
      <c r="A661" s="7"/>
      <c r="B661" s="295"/>
      <c r="C661" s="295"/>
      <c r="D661" s="410"/>
      <c r="E661" s="9"/>
      <c r="F661" s="338"/>
    </row>
    <row r="662" spans="1:7" x14ac:dyDescent="0.2">
      <c r="A662" s="7"/>
      <c r="B662" s="295"/>
      <c r="C662" s="295"/>
      <c r="D662" s="410"/>
      <c r="E662" s="9"/>
      <c r="F662" s="338"/>
    </row>
    <row r="663" spans="1:7" x14ac:dyDescent="0.2">
      <c r="A663" s="7"/>
      <c r="B663" s="295"/>
      <c r="C663" s="295"/>
      <c r="D663" s="410"/>
      <c r="E663" s="9"/>
      <c r="F663" s="285"/>
    </row>
    <row r="664" spans="1:7" ht="13.5" thickBot="1" x14ac:dyDescent="0.25">
      <c r="A664" s="7"/>
      <c r="B664" s="295"/>
      <c r="C664" s="295"/>
      <c r="D664" s="410"/>
      <c r="E664" s="410"/>
    </row>
    <row r="665" spans="1:7" ht="16.5" thickBot="1" x14ac:dyDescent="0.25">
      <c r="A665" s="24" t="s">
        <v>216</v>
      </c>
      <c r="B665" s="28"/>
      <c r="C665" s="28"/>
      <c r="D665" s="29"/>
      <c r="E665" s="30"/>
      <c r="F665" s="322">
        <f>SUM(F660+F655+F636+F603)</f>
        <v>46079.775774079579</v>
      </c>
    </row>
    <row r="666" spans="1:7" x14ac:dyDescent="0.2">
      <c r="A666" s="7"/>
      <c r="B666" s="7"/>
      <c r="C666" s="7"/>
      <c r="D666" s="285"/>
      <c r="E666" s="285"/>
      <c r="F666" s="285"/>
    </row>
    <row r="667" spans="1:7" x14ac:dyDescent="0.2">
      <c r="A667" s="7"/>
      <c r="B667" s="7"/>
      <c r="C667" s="7"/>
      <c r="D667" s="285"/>
      <c r="E667" s="285"/>
      <c r="F667" s="285"/>
    </row>
    <row r="668" spans="1:7" x14ac:dyDescent="0.2">
      <c r="A668" s="7"/>
      <c r="B668" s="7"/>
      <c r="C668" s="7"/>
      <c r="D668" s="285"/>
      <c r="E668" s="285"/>
      <c r="F668" s="9"/>
    </row>
    <row r="669" spans="1:7" ht="15.75" x14ac:dyDescent="0.2">
      <c r="A669" s="11" t="s">
        <v>531</v>
      </c>
      <c r="B669" s="7"/>
      <c r="C669" s="7"/>
      <c r="D669" s="285"/>
      <c r="E669" s="285"/>
      <c r="F669" s="53"/>
    </row>
    <row r="670" spans="1:7" ht="13.5" thickBot="1" x14ac:dyDescent="0.25">
      <c r="A670" s="7"/>
      <c r="B670" s="7"/>
      <c r="C670" s="7"/>
      <c r="D670" s="285"/>
      <c r="E670" s="285"/>
      <c r="F670" s="418"/>
    </row>
    <row r="671" spans="1:7" ht="13.5" thickBot="1" x14ac:dyDescent="0.25">
      <c r="A671" s="56" t="s">
        <v>62</v>
      </c>
      <c r="B671" s="57" t="s">
        <v>63</v>
      </c>
      <c r="C671" s="57" t="s">
        <v>40</v>
      </c>
      <c r="D671" s="58" t="s">
        <v>300</v>
      </c>
      <c r="E671" s="58" t="s">
        <v>64</v>
      </c>
      <c r="F671" s="457" t="s">
        <v>378</v>
      </c>
      <c r="G671" s="517"/>
    </row>
    <row r="672" spans="1:7" x14ac:dyDescent="0.2">
      <c r="A672" s="271" t="s">
        <v>36</v>
      </c>
      <c r="B672" s="288" t="s">
        <v>2</v>
      </c>
      <c r="C672" s="389">
        <f>C478</f>
        <v>26.790000000000003</v>
      </c>
      <c r="D672" s="289">
        <f>+$F$665</f>
        <v>46079.775774079579</v>
      </c>
      <c r="E672" s="289">
        <f>C672*D672/100</f>
        <v>12344.77192987592</v>
      </c>
      <c r="F672" s="285"/>
    </row>
    <row r="673" spans="1:7" x14ac:dyDescent="0.2">
      <c r="A673" s="7"/>
      <c r="B673" s="7"/>
      <c r="C673" s="7"/>
      <c r="D673" s="285"/>
      <c r="E673" s="285"/>
      <c r="F673" s="285"/>
    </row>
    <row r="674" spans="1:7" ht="13.5" thickBot="1" x14ac:dyDescent="0.25">
      <c r="A674" s="7"/>
      <c r="B674" s="7"/>
      <c r="C674" s="7"/>
      <c r="D674" s="285"/>
      <c r="E674" s="285"/>
    </row>
    <row r="675" spans="1:7" ht="16.5" thickBot="1" x14ac:dyDescent="0.25">
      <c r="A675" s="24" t="s">
        <v>317</v>
      </c>
      <c r="B675" s="25"/>
      <c r="C675" s="25"/>
      <c r="D675" s="26"/>
      <c r="E675" s="27"/>
      <c r="F675" s="427">
        <f>$E$672</f>
        <v>12344.77192987592</v>
      </c>
    </row>
    <row r="676" spans="1:7" x14ac:dyDescent="0.2">
      <c r="A676" s="11"/>
      <c r="B676" s="11"/>
      <c r="C676" s="11"/>
      <c r="D676" s="33"/>
      <c r="E676" s="33"/>
      <c r="F676" s="285"/>
    </row>
    <row r="677" spans="1:7" ht="13.5" thickBot="1" x14ac:dyDescent="0.25">
      <c r="A677" s="7"/>
      <c r="B677" s="7"/>
      <c r="C677" s="7"/>
      <c r="D677" s="285"/>
      <c r="E677" s="285"/>
    </row>
    <row r="678" spans="1:7" ht="17.25" customHeight="1" thickBot="1" x14ac:dyDescent="0.25">
      <c r="A678" s="24" t="s">
        <v>318</v>
      </c>
      <c r="B678" s="306"/>
      <c r="C678" s="306"/>
      <c r="D678" s="307"/>
      <c r="E678" s="308"/>
      <c r="F678" s="427">
        <f>F665+F675</f>
        <v>58424.547703955497</v>
      </c>
    </row>
    <row r="679" spans="1:7" ht="16.5" thickBot="1" x14ac:dyDescent="0.25">
      <c r="A679" s="52"/>
      <c r="B679" s="52"/>
      <c r="C679" s="52"/>
      <c r="D679" s="53"/>
      <c r="E679" s="53"/>
      <c r="F679" s="447"/>
    </row>
    <row r="680" spans="1:7" ht="15" customHeight="1" x14ac:dyDescent="0.2">
      <c r="A680" s="440"/>
      <c r="B680" s="441"/>
      <c r="C680" s="441"/>
      <c r="D680" s="442"/>
      <c r="E680" s="442"/>
      <c r="F680" s="443"/>
      <c r="G680" s="517"/>
    </row>
    <row r="681" spans="1:7" ht="15.75" x14ac:dyDescent="0.2">
      <c r="A681" s="37"/>
      <c r="B681" s="285"/>
      <c r="C681" s="285"/>
      <c r="D681" s="285"/>
      <c r="E681" s="285"/>
      <c r="F681" s="9"/>
    </row>
    <row r="682" spans="1:7" ht="15.75" x14ac:dyDescent="0.2">
      <c r="A682" s="52" t="s">
        <v>319</v>
      </c>
      <c r="B682" s="7"/>
      <c r="C682" s="7"/>
      <c r="D682" s="285"/>
      <c r="E682" s="285"/>
      <c r="F682" s="285"/>
    </row>
    <row r="683" spans="1:7" x14ac:dyDescent="0.2">
      <c r="A683" s="7"/>
      <c r="B683" s="7"/>
      <c r="C683" s="7"/>
      <c r="D683" s="285"/>
      <c r="E683" s="285"/>
      <c r="F683" s="285"/>
    </row>
    <row r="684" spans="1:7" ht="15" x14ac:dyDescent="0.2">
      <c r="A684" s="313" t="s">
        <v>320</v>
      </c>
      <c r="B684" s="314"/>
      <c r="C684" s="315" t="s">
        <v>33</v>
      </c>
      <c r="D684" s="316">
        <f>$F678</f>
        <v>58424.547703955497</v>
      </c>
      <c r="E684" s="34"/>
      <c r="F684" s="323"/>
    </row>
    <row r="685" spans="1:7" ht="14.25" x14ac:dyDescent="0.2">
      <c r="A685" s="8"/>
      <c r="B685" s="8"/>
      <c r="C685" s="8"/>
      <c r="D685" s="34"/>
      <c r="E685" s="34"/>
      <c r="F685" s="286"/>
    </row>
    <row r="686" spans="1:7" ht="15" x14ac:dyDescent="0.2">
      <c r="A686" s="313" t="s">
        <v>321</v>
      </c>
      <c r="B686" s="314"/>
      <c r="C686" s="314"/>
      <c r="D686" s="428">
        <v>297.11</v>
      </c>
      <c r="E686" s="317" t="s">
        <v>322</v>
      </c>
      <c r="F686" s="285"/>
    </row>
    <row r="687" spans="1:7" ht="13.5" thickBot="1" x14ac:dyDescent="0.25">
      <c r="A687" s="7"/>
      <c r="B687" s="7"/>
      <c r="C687" s="7"/>
      <c r="D687" s="285"/>
      <c r="E687" s="285"/>
    </row>
    <row r="688" spans="1:7" ht="16.5" thickBot="1" x14ac:dyDescent="0.25">
      <c r="A688" s="318" t="s">
        <v>323</v>
      </c>
      <c r="B688" s="319"/>
      <c r="C688" s="319"/>
      <c r="D688" s="320"/>
      <c r="E688" s="321" t="s">
        <v>324</v>
      </c>
      <c r="F688" s="426">
        <f>D684/D686</f>
        <v>196.64281816147385</v>
      </c>
    </row>
    <row r="689" spans="1:6" ht="15.75" x14ac:dyDescent="0.2">
      <c r="A689" s="52"/>
      <c r="B689" s="52"/>
      <c r="C689" s="52"/>
      <c r="D689" s="53"/>
      <c r="E689" s="53"/>
      <c r="F689" s="285"/>
    </row>
    <row r="690" spans="1:6" x14ac:dyDescent="0.2">
      <c r="A690" s="7"/>
      <c r="B690" s="250"/>
      <c r="C690" s="250"/>
      <c r="D690" s="418"/>
      <c r="E690" s="418"/>
      <c r="F690" s="285"/>
    </row>
    <row r="691" spans="1:6" ht="15.75" x14ac:dyDescent="0.2">
      <c r="A691" s="444"/>
      <c r="B691" s="445"/>
      <c r="C691" s="445"/>
      <c r="D691" s="445"/>
      <c r="E691" s="445"/>
      <c r="F691" s="445"/>
    </row>
    <row r="692" spans="1:6" ht="15.75" x14ac:dyDescent="0.2">
      <c r="A692" s="37"/>
      <c r="B692" s="285"/>
      <c r="C692" s="285"/>
      <c r="D692" s="285"/>
      <c r="E692" s="285"/>
      <c r="F692" s="285"/>
    </row>
    <row r="693" spans="1:6" x14ac:dyDescent="0.2">
      <c r="A693" s="33"/>
      <c r="B693" s="324"/>
      <c r="C693" s="286"/>
      <c r="D693" s="285"/>
      <c r="E693" s="42"/>
      <c r="F693" s="285"/>
    </row>
    <row r="694" spans="1:6" ht="13.5" thickBot="1" x14ac:dyDescent="0.25">
      <c r="A694" s="7"/>
      <c r="B694" s="7"/>
      <c r="C694" s="7"/>
      <c r="D694" s="285"/>
      <c r="E694" s="285"/>
      <c r="F694" s="285"/>
    </row>
    <row r="695" spans="1:6" ht="16.5" thickBot="1" x14ac:dyDescent="0.25">
      <c r="A695" s="446" t="s">
        <v>382</v>
      </c>
      <c r="B695" s="307"/>
      <c r="C695" s="307"/>
      <c r="D695" s="307"/>
      <c r="E695" s="308"/>
      <c r="F695" s="427">
        <f>F484+F678</f>
        <v>676416.58244440379</v>
      </c>
    </row>
    <row r="696" spans="1:6" x14ac:dyDescent="0.2">
      <c r="A696" s="325"/>
      <c r="B696" s="7"/>
      <c r="C696" s="7"/>
      <c r="D696" s="285"/>
      <c r="E696" s="285"/>
      <c r="F696" s="285"/>
    </row>
    <row r="697" spans="1:6" ht="13.5" thickBot="1" x14ac:dyDescent="0.25">
      <c r="A697" s="325"/>
      <c r="B697" s="7"/>
      <c r="C697" s="7"/>
      <c r="D697" s="285"/>
      <c r="E697" s="285"/>
      <c r="F697" s="285"/>
    </row>
    <row r="698" spans="1:6" ht="16.5" thickBot="1" x14ac:dyDescent="0.25">
      <c r="A698" s="446" t="s">
        <v>383</v>
      </c>
      <c r="B698" s="307"/>
      <c r="C698" s="307"/>
      <c r="D698" s="307"/>
      <c r="E698" s="308"/>
      <c r="F698" s="427">
        <f>+F695*12</f>
        <v>8116998.9893328454</v>
      </c>
    </row>
    <row r="699" spans="1:6" x14ac:dyDescent="0.2">
      <c r="A699" s="285"/>
      <c r="B699" s="285"/>
      <c r="C699" s="285"/>
      <c r="D699" s="285"/>
      <c r="E699" s="285"/>
      <c r="F699" s="285"/>
    </row>
    <row r="700" spans="1:6" x14ac:dyDescent="0.2">
      <c r="A700" s="445"/>
      <c r="B700" s="445"/>
      <c r="C700" s="445"/>
      <c r="D700" s="445"/>
      <c r="E700" s="445"/>
      <c r="F700" s="445"/>
    </row>
    <row r="701" spans="1:6" x14ac:dyDescent="0.2">
      <c r="A701" s="285"/>
      <c r="B701" s="285"/>
      <c r="C701" s="285"/>
      <c r="D701" s="285"/>
      <c r="E701" s="285"/>
      <c r="F701" s="285"/>
    </row>
    <row r="702" spans="1:6" x14ac:dyDescent="0.2">
      <c r="A702" s="285"/>
      <c r="B702" s="285"/>
      <c r="C702" s="285"/>
      <c r="D702" s="285"/>
      <c r="E702" s="285"/>
      <c r="F702" s="285"/>
    </row>
  </sheetData>
  <mergeCells count="15">
    <mergeCell ref="A518:D518"/>
    <mergeCell ref="D508:E508"/>
    <mergeCell ref="D509:E509"/>
    <mergeCell ref="D510:E510"/>
    <mergeCell ref="D512:E512"/>
    <mergeCell ref="D513:E513"/>
    <mergeCell ref="A66:D66"/>
    <mergeCell ref="D507:E507"/>
    <mergeCell ref="A509:C509"/>
    <mergeCell ref="A30:C30"/>
    <mergeCell ref="A11:F11"/>
    <mergeCell ref="A12:F12"/>
    <mergeCell ref="A54:D54"/>
    <mergeCell ref="A14:F14"/>
    <mergeCell ref="A53:E53"/>
  </mergeCells>
  <phoneticPr fontId="9" type="noConversion"/>
  <hyperlinks>
    <hyperlink ref="A306" location="AbaRemun" display="3.1.2. Remuneração do Capital" xr:uid="{00000000-0004-0000-0000-000000000000}"/>
    <hyperlink ref="A290" location="AbaDeprec" display="3.1.1. Depreciação" xr:uid="{00000000-0004-0000-0000-000001000000}"/>
  </hyperlinks>
  <pageMargins left="0.9055118110236221" right="0.51181102362204722" top="0.74803149606299213" bottom="0.74803149606299213" header="0.31496062992125984" footer="0.31496062992125984"/>
  <pageSetup paperSize="9" scale="73" fitToHeight="0" orientation="portrait" r:id="rId1"/>
  <headerFooter alignWithMargins="0">
    <oddFooter>&amp;R&amp;P de &amp;N</oddFooter>
  </headerFooter>
  <rowBreaks count="3" manualBreakCount="3">
    <brk id="172" max="5" man="1"/>
    <brk id="280" max="5" man="1"/>
    <brk id="349" max="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4FFA-61DD-4AFB-8909-60A85C6CECB7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G32" sqref="G32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topLeftCell="A22" workbookViewId="0">
      <selection activeCell="C43" sqref="C43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" customWidth="1"/>
    <col min="5" max="10" width="9.140625" style="1"/>
    <col min="11" max="11" width="11" style="1" bestFit="1" customWidth="1"/>
    <col min="12" max="16384" width="9.140625" style="1"/>
  </cols>
  <sheetData>
    <row r="1" spans="1:7" x14ac:dyDescent="0.2">
      <c r="A1" s="11" t="s">
        <v>196</v>
      </c>
    </row>
    <row r="2" spans="1:7" x14ac:dyDescent="0.2">
      <c r="A2" s="124" t="s">
        <v>236</v>
      </c>
    </row>
    <row r="3" spans="1:7" s="4" customFormat="1" ht="15.6" customHeight="1" x14ac:dyDescent="0.2">
      <c r="B3" s="5"/>
      <c r="C3" s="5"/>
      <c r="D3" s="5"/>
      <c r="E3" s="5"/>
      <c r="F3" s="5"/>
      <c r="G3" s="6"/>
    </row>
    <row r="4" spans="1:7" s="4" customFormat="1" ht="15.6" customHeight="1" x14ac:dyDescent="0.2">
      <c r="A4" s="269" t="s">
        <v>281</v>
      </c>
      <c r="B4" s="5"/>
      <c r="C4" s="5"/>
      <c r="D4" s="5"/>
      <c r="E4" s="5"/>
      <c r="F4" s="5"/>
      <c r="G4" s="6"/>
    </row>
    <row r="5" spans="1:7" s="4" customFormat="1" ht="16.5" customHeight="1" x14ac:dyDescent="0.2">
      <c r="A5" s="269" t="s">
        <v>278</v>
      </c>
      <c r="B5" s="5"/>
      <c r="C5" s="5"/>
      <c r="D5" s="6"/>
      <c r="E5" s="6"/>
      <c r="F5" s="6"/>
      <c r="G5" s="6"/>
    </row>
    <row r="6" spans="1:7" ht="13.5" thickBot="1" x14ac:dyDescent="0.25"/>
    <row r="7" spans="1:7" ht="18" x14ac:dyDescent="0.2">
      <c r="A7" s="544" t="s">
        <v>219</v>
      </c>
      <c r="B7" s="545"/>
      <c r="C7" s="546"/>
      <c r="D7" s="132"/>
      <c r="E7" s="132"/>
      <c r="F7" s="132"/>
    </row>
    <row r="8" spans="1:7" ht="14.25" x14ac:dyDescent="0.2">
      <c r="A8" s="148" t="s">
        <v>134</v>
      </c>
      <c r="B8" s="149" t="s">
        <v>135</v>
      </c>
      <c r="C8" s="150" t="s">
        <v>136</v>
      </c>
      <c r="D8" s="151"/>
    </row>
    <row r="9" spans="1:7" ht="14.25" x14ac:dyDescent="0.2">
      <c r="A9" s="148" t="s">
        <v>137</v>
      </c>
      <c r="B9" s="149" t="s">
        <v>41</v>
      </c>
      <c r="C9" s="152">
        <v>0.2</v>
      </c>
      <c r="D9" s="151"/>
    </row>
    <row r="10" spans="1:7" ht="14.25" x14ac:dyDescent="0.2">
      <c r="A10" s="148" t="s">
        <v>138</v>
      </c>
      <c r="B10" s="149" t="s">
        <v>139</v>
      </c>
      <c r="C10" s="152">
        <v>1.4999999999999999E-2</v>
      </c>
      <c r="D10" s="151"/>
    </row>
    <row r="11" spans="1:7" ht="14.25" x14ac:dyDescent="0.2">
      <c r="A11" s="148" t="s">
        <v>140</v>
      </c>
      <c r="B11" s="149" t="s">
        <v>141</v>
      </c>
      <c r="C11" s="152">
        <v>0.01</v>
      </c>
      <c r="D11" s="151"/>
    </row>
    <row r="12" spans="1:7" ht="14.25" x14ac:dyDescent="0.2">
      <c r="A12" s="148" t="s">
        <v>142</v>
      </c>
      <c r="B12" s="149" t="s">
        <v>143</v>
      </c>
      <c r="C12" s="152">
        <v>2E-3</v>
      </c>
      <c r="D12" s="151"/>
    </row>
    <row r="13" spans="1:7" ht="14.25" x14ac:dyDescent="0.2">
      <c r="A13" s="148" t="s">
        <v>144</v>
      </c>
      <c r="B13" s="149" t="s">
        <v>145</v>
      </c>
      <c r="C13" s="152">
        <v>6.0000000000000001E-3</v>
      </c>
      <c r="D13" s="151"/>
    </row>
    <row r="14" spans="1:7" ht="14.25" x14ac:dyDescent="0.2">
      <c r="A14" s="148" t="s">
        <v>146</v>
      </c>
      <c r="B14" s="149" t="s">
        <v>147</v>
      </c>
      <c r="C14" s="152">
        <v>2.5000000000000001E-2</v>
      </c>
      <c r="D14" s="151"/>
    </row>
    <row r="15" spans="1:7" ht="14.25" x14ac:dyDescent="0.2">
      <c r="A15" s="148" t="s">
        <v>148</v>
      </c>
      <c r="B15" s="149" t="s">
        <v>149</v>
      </c>
      <c r="C15" s="152">
        <v>0.03</v>
      </c>
      <c r="D15" s="151"/>
    </row>
    <row r="16" spans="1:7" ht="14.25" x14ac:dyDescent="0.2">
      <c r="A16" s="148" t="s">
        <v>150</v>
      </c>
      <c r="B16" s="149" t="s">
        <v>42</v>
      </c>
      <c r="C16" s="152">
        <v>0.08</v>
      </c>
      <c r="D16" s="151"/>
    </row>
    <row r="17" spans="1:8" ht="15" x14ac:dyDescent="0.2">
      <c r="A17" s="148" t="s">
        <v>151</v>
      </c>
      <c r="B17" s="153" t="s">
        <v>152</v>
      </c>
      <c r="C17" s="154">
        <f>SUM(C9:C16)</f>
        <v>0.36800000000000005</v>
      </c>
      <c r="D17" s="151"/>
    </row>
    <row r="18" spans="1:8" ht="15" x14ac:dyDescent="0.2">
      <c r="A18" s="155"/>
      <c r="B18" s="156"/>
      <c r="C18" s="157"/>
      <c r="D18" s="151"/>
    </row>
    <row r="19" spans="1:8" ht="14.25" x14ac:dyDescent="0.2">
      <c r="A19" s="148" t="s">
        <v>153</v>
      </c>
      <c r="B19" s="158" t="s">
        <v>154</v>
      </c>
      <c r="C19" s="152">
        <f>ROUND(IF('3.CAGED'!C28&gt;24,(1-12/'3.CAGED'!C28)*0.1111,0.1111-C28),4)</f>
        <v>6.1899999999999997E-2</v>
      </c>
      <c r="D19" s="151"/>
    </row>
    <row r="20" spans="1:8" ht="14.25" x14ac:dyDescent="0.2">
      <c r="A20" s="148" t="s">
        <v>155</v>
      </c>
      <c r="B20" s="158" t="s">
        <v>156</v>
      </c>
      <c r="C20" s="152">
        <f>ROUND('3.CAGED'!C32/'3.CAGED'!C29,4)</f>
        <v>8.3299999999999999E-2</v>
      </c>
      <c r="D20" s="151"/>
    </row>
    <row r="21" spans="1:8" ht="14.25" x14ac:dyDescent="0.2">
      <c r="A21" s="148" t="s">
        <v>210</v>
      </c>
      <c r="B21" s="158" t="s">
        <v>158</v>
      </c>
      <c r="C21" s="152">
        <v>5.9999999999999995E-4</v>
      </c>
      <c r="D21" s="151"/>
    </row>
    <row r="22" spans="1:8" ht="14.25" x14ac:dyDescent="0.2">
      <c r="A22" s="148" t="s">
        <v>157</v>
      </c>
      <c r="B22" s="158" t="s">
        <v>160</v>
      </c>
      <c r="C22" s="152">
        <v>8.2000000000000007E-3</v>
      </c>
      <c r="D22" s="151"/>
    </row>
    <row r="23" spans="1:8" ht="14.25" x14ac:dyDescent="0.2">
      <c r="A23" s="148" t="s">
        <v>159</v>
      </c>
      <c r="B23" s="158" t="s">
        <v>162</v>
      </c>
      <c r="C23" s="152">
        <v>3.0999999999999999E-3</v>
      </c>
      <c r="D23" s="151"/>
    </row>
    <row r="24" spans="1:8" ht="14.25" x14ac:dyDescent="0.2">
      <c r="A24" s="148" t="s">
        <v>161</v>
      </c>
      <c r="B24" s="158" t="s">
        <v>163</v>
      </c>
      <c r="C24" s="152">
        <v>1.66E-2</v>
      </c>
      <c r="D24" s="151"/>
    </row>
    <row r="25" spans="1:8" ht="15" x14ac:dyDescent="0.2">
      <c r="A25" s="148" t="s">
        <v>164</v>
      </c>
      <c r="B25" s="153" t="s">
        <v>165</v>
      </c>
      <c r="C25" s="154">
        <f>SUM(C19:C24)</f>
        <v>0.17369999999999999</v>
      </c>
      <c r="D25" s="159"/>
    </row>
    <row r="26" spans="1:8" ht="15" x14ac:dyDescent="0.2">
      <c r="A26" s="155"/>
      <c r="B26" s="156"/>
      <c r="C26" s="157"/>
      <c r="D26" s="159"/>
    </row>
    <row r="27" spans="1:8" ht="14.25" x14ac:dyDescent="0.2">
      <c r="A27" s="148" t="s">
        <v>166</v>
      </c>
      <c r="B27" s="149" t="s">
        <v>167</v>
      </c>
      <c r="C27" s="152">
        <f>ROUND(('3.CAGED'!C33) *'3.CAGED'!C26/'3.CAGED'!C29,4)</f>
        <v>2.5600000000000001E-2</v>
      </c>
      <c r="D27" s="151"/>
      <c r="E27" s="160"/>
    </row>
    <row r="28" spans="1:8" ht="14.25" x14ac:dyDescent="0.2">
      <c r="A28" s="148" t="s">
        <v>209</v>
      </c>
      <c r="B28" s="149" t="s">
        <v>169</v>
      </c>
      <c r="C28" s="152">
        <f>ROUND(IF('3.CAGED'!C28&gt;12,12/'3.CAGED'!C28*0.1111,0.1111),4)</f>
        <v>4.9200000000000001E-2</v>
      </c>
      <c r="D28" s="151"/>
      <c r="H28" s="161"/>
    </row>
    <row r="29" spans="1:8" ht="14.25" x14ac:dyDescent="0.2">
      <c r="A29" s="148" t="s">
        <v>168</v>
      </c>
      <c r="B29" s="149" t="s">
        <v>171</v>
      </c>
      <c r="C29" s="152">
        <f>C27*C28</f>
        <v>1.2595200000000001E-3</v>
      </c>
      <c r="D29" s="151"/>
      <c r="E29" s="160"/>
    </row>
    <row r="30" spans="1:8" ht="14.25" x14ac:dyDescent="0.2">
      <c r="A30" s="148" t="s">
        <v>170</v>
      </c>
      <c r="B30" s="149" t="s">
        <v>173</v>
      </c>
      <c r="C30" s="152">
        <f>ROUND(('3.CAGED'!C29+'3.CAGED'!C30+'3.CAGED'!C32)/'3.CAGED'!C27*'3.CAGED'!C34*'3.CAGED'!C35*'3.CAGED'!C26/'3.CAGED'!C29,4)</f>
        <v>2.0500000000000001E-2</v>
      </c>
      <c r="D30" s="151"/>
      <c r="G30" s="160"/>
    </row>
    <row r="31" spans="1:8" ht="14.25" x14ac:dyDescent="0.2">
      <c r="A31" s="148" t="s">
        <v>172</v>
      </c>
      <c r="B31" s="149" t="s">
        <v>174</v>
      </c>
      <c r="C31" s="152">
        <f>ROUND(('3.CAGED'!C31/'3.CAGED'!C29)*'3.CAGED'!C26/12,4)</f>
        <v>1.8E-3</v>
      </c>
      <c r="D31" s="151"/>
    </row>
    <row r="32" spans="1:8" ht="15" x14ac:dyDescent="0.2">
      <c r="A32" s="148" t="s">
        <v>175</v>
      </c>
      <c r="B32" s="153" t="s">
        <v>176</v>
      </c>
      <c r="C32" s="154">
        <f>SUM(C27:C31)</f>
        <v>9.8359520000000006E-2</v>
      </c>
      <c r="D32" s="159"/>
    </row>
    <row r="33" spans="1:4" ht="15" x14ac:dyDescent="0.2">
      <c r="A33" s="155"/>
      <c r="B33" s="156"/>
      <c r="C33" s="157"/>
      <c r="D33" s="159"/>
    </row>
    <row r="34" spans="1:4" ht="14.25" x14ac:dyDescent="0.2">
      <c r="A34" s="148" t="s">
        <v>177</v>
      </c>
      <c r="B34" s="149" t="s">
        <v>178</v>
      </c>
      <c r="C34" s="152">
        <f>ROUND(C17*C25,4)</f>
        <v>6.3899999999999998E-2</v>
      </c>
      <c r="D34" s="151"/>
    </row>
    <row r="35" spans="1:4" ht="28.5" x14ac:dyDescent="0.2">
      <c r="A35" s="148" t="s">
        <v>179</v>
      </c>
      <c r="B35" s="162" t="s">
        <v>277</v>
      </c>
      <c r="C35" s="152">
        <f>ROUND((C27*C16),4)</f>
        <v>2E-3</v>
      </c>
      <c r="D35" s="151"/>
    </row>
    <row r="36" spans="1:4" ht="15" x14ac:dyDescent="0.2">
      <c r="A36" s="148" t="s">
        <v>180</v>
      </c>
      <c r="B36" s="153" t="s">
        <v>181</v>
      </c>
      <c r="C36" s="154">
        <f>SUM(C34:C35)</f>
        <v>6.59E-2</v>
      </c>
      <c r="D36" s="159"/>
    </row>
    <row r="37" spans="1:4" ht="15.75" thickBot="1" x14ac:dyDescent="0.25">
      <c r="A37" s="163"/>
      <c r="B37" s="164" t="s">
        <v>182</v>
      </c>
      <c r="C37" s="165">
        <f>C36+C32+C25+C17</f>
        <v>0.70595951999999995</v>
      </c>
      <c r="D37" s="159"/>
    </row>
    <row r="38" spans="1:4" ht="15" x14ac:dyDescent="0.2">
      <c r="A38" s="151"/>
      <c r="B38" s="166"/>
      <c r="C38" s="167"/>
      <c r="D38" s="168"/>
    </row>
    <row r="39" spans="1:4" ht="14.25" x14ac:dyDescent="0.2">
      <c r="A39" s="151"/>
      <c r="B39" s="279" t="s">
        <v>292</v>
      </c>
      <c r="C39" s="280"/>
      <c r="D39" s="279"/>
    </row>
    <row r="40" spans="1:4" ht="14.25" x14ac:dyDescent="0.2">
      <c r="A40" s="151"/>
      <c r="B40" s="151"/>
      <c r="C40" s="169"/>
      <c r="D40" s="151"/>
    </row>
    <row r="41" spans="1:4" ht="14.25" x14ac:dyDescent="0.2">
      <c r="A41" s="151"/>
      <c r="B41" s="151"/>
      <c r="C41" s="169"/>
      <c r="D41" s="151"/>
    </row>
    <row r="42" spans="1:4" ht="14.25" x14ac:dyDescent="0.2">
      <c r="A42" s="151"/>
      <c r="B42" s="151"/>
      <c r="C42" s="169"/>
      <c r="D42" s="151"/>
    </row>
    <row r="43" spans="1:4" ht="15" x14ac:dyDescent="0.2">
      <c r="A43" s="151"/>
      <c r="B43" s="166"/>
      <c r="C43" s="167"/>
      <c r="D43" s="151"/>
    </row>
    <row r="44" spans="1:4" ht="15" x14ac:dyDescent="0.2">
      <c r="A44" s="159"/>
      <c r="B44" s="166"/>
      <c r="C44" s="167"/>
      <c r="D44" s="159"/>
    </row>
    <row r="45" spans="1:4" ht="16.5" x14ac:dyDescent="0.2">
      <c r="A45" s="170"/>
    </row>
    <row r="46" spans="1:4" x14ac:dyDescent="0.2">
      <c r="A46" s="171"/>
      <c r="B46" s="172"/>
      <c r="C46" s="172"/>
    </row>
    <row r="47" spans="1:4" ht="14.25" x14ac:dyDescent="0.2">
      <c r="A47" s="151"/>
      <c r="B47" s="173"/>
      <c r="C47" s="172"/>
    </row>
    <row r="48" spans="1:4" ht="14.25" x14ac:dyDescent="0.2">
      <c r="A48" s="151"/>
      <c r="B48" s="173"/>
      <c r="C48" s="151"/>
    </row>
    <row r="49" spans="1:3" ht="14.25" x14ac:dyDescent="0.2">
      <c r="A49" s="151"/>
      <c r="B49" s="169"/>
      <c r="C49" s="172"/>
    </row>
    <row r="50" spans="1:3" ht="14.25" x14ac:dyDescent="0.2">
      <c r="A50" s="151"/>
      <c r="B50" s="173"/>
      <c r="C50" s="151"/>
    </row>
    <row r="51" spans="1:3" ht="14.25" x14ac:dyDescent="0.2">
      <c r="A51" s="151"/>
      <c r="B51" s="169"/>
      <c r="C51" s="172"/>
    </row>
    <row r="52" spans="1:3" ht="14.25" x14ac:dyDescent="0.2">
      <c r="A52" s="151"/>
      <c r="B52" s="173"/>
      <c r="C52" s="151"/>
    </row>
    <row r="53" spans="1:3" ht="14.25" x14ac:dyDescent="0.2">
      <c r="A53" s="151"/>
      <c r="B53" s="169"/>
      <c r="C53" s="172"/>
    </row>
    <row r="54" spans="1:3" ht="14.25" x14ac:dyDescent="0.2">
      <c r="A54" s="151"/>
      <c r="B54" s="173"/>
      <c r="C54" s="151"/>
    </row>
    <row r="55" spans="1:3" ht="14.25" x14ac:dyDescent="0.2">
      <c r="A55" s="151"/>
      <c r="B55" s="169"/>
      <c r="C55" s="172"/>
    </row>
    <row r="56" spans="1:3" ht="16.5" x14ac:dyDescent="0.2">
      <c r="A56" s="170"/>
    </row>
    <row r="59" spans="1:3" x14ac:dyDescent="0.2">
      <c r="A59" s="174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topLeftCell="A13" workbookViewId="0">
      <selection activeCell="E22" sqref="E22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7" x14ac:dyDescent="0.2">
      <c r="A1" s="97" t="s">
        <v>231</v>
      </c>
    </row>
    <row r="3" spans="1:7" x14ac:dyDescent="0.2">
      <c r="A3" s="270" t="s">
        <v>391</v>
      </c>
    </row>
    <row r="5" spans="1:7" x14ac:dyDescent="0.2">
      <c r="A5" s="270" t="s">
        <v>288</v>
      </c>
      <c r="C5" s="277" t="s">
        <v>290</v>
      </c>
      <c r="D5" s="278"/>
      <c r="E5" s="278"/>
      <c r="F5" s="278"/>
      <c r="G5" s="278"/>
    </row>
    <row r="6" spans="1:7" ht="13.5" thickBot="1" x14ac:dyDescent="0.25">
      <c r="C6" s="277" t="s">
        <v>291</v>
      </c>
      <c r="D6" s="278"/>
      <c r="E6" s="278"/>
      <c r="F6" s="278"/>
      <c r="G6" s="278"/>
    </row>
    <row r="7" spans="1:7" ht="18" x14ac:dyDescent="0.25">
      <c r="B7" s="547" t="s">
        <v>217</v>
      </c>
      <c r="C7" s="548"/>
    </row>
    <row r="8" spans="1:7" ht="15" x14ac:dyDescent="0.25">
      <c r="B8" s="137" t="s">
        <v>198</v>
      </c>
      <c r="C8" s="175"/>
    </row>
    <row r="9" spans="1:7" ht="15" x14ac:dyDescent="0.25">
      <c r="B9" s="138" t="s">
        <v>118</v>
      </c>
      <c r="C9" s="139">
        <v>2100</v>
      </c>
    </row>
    <row r="10" spans="1:7" ht="15" x14ac:dyDescent="0.25">
      <c r="B10" s="140" t="s">
        <v>119</v>
      </c>
      <c r="C10" s="139">
        <v>2031</v>
      </c>
    </row>
    <row r="11" spans="1:7" ht="14.25" x14ac:dyDescent="0.2">
      <c r="B11" s="176" t="s">
        <v>120</v>
      </c>
      <c r="C11" s="177">
        <v>44</v>
      </c>
    </row>
    <row r="12" spans="1:7" ht="14.25" x14ac:dyDescent="0.2">
      <c r="B12" s="176" t="s">
        <v>121</v>
      </c>
      <c r="C12" s="177">
        <v>1192</v>
      </c>
    </row>
    <row r="13" spans="1:7" ht="14.25" x14ac:dyDescent="0.2">
      <c r="B13" s="176" t="s">
        <v>122</v>
      </c>
      <c r="C13" s="177">
        <v>372</v>
      </c>
    </row>
    <row r="14" spans="1:7" ht="14.25" x14ac:dyDescent="0.2">
      <c r="B14" s="176" t="s">
        <v>123</v>
      </c>
      <c r="C14" s="177">
        <v>22</v>
      </c>
    </row>
    <row r="15" spans="1:7" ht="14.25" x14ac:dyDescent="0.2">
      <c r="B15" s="176" t="s">
        <v>124</v>
      </c>
      <c r="C15" s="177">
        <v>350</v>
      </c>
    </row>
    <row r="16" spans="1:7" ht="14.25" x14ac:dyDescent="0.2">
      <c r="B16" s="176" t="s">
        <v>125</v>
      </c>
      <c r="C16" s="177">
        <v>1</v>
      </c>
    </row>
    <row r="17" spans="1:5" ht="14.25" x14ac:dyDescent="0.2">
      <c r="B17" s="176" t="s">
        <v>126</v>
      </c>
      <c r="C17" s="177">
        <v>30</v>
      </c>
    </row>
    <row r="18" spans="1:5" ht="14.25" x14ac:dyDescent="0.2">
      <c r="B18" s="178" t="s">
        <v>127</v>
      </c>
      <c r="C18" s="179">
        <v>0</v>
      </c>
    </row>
    <row r="19" spans="1:5" ht="14.25" x14ac:dyDescent="0.2">
      <c r="B19" s="276" t="s">
        <v>284</v>
      </c>
      <c r="C19" s="179">
        <v>0</v>
      </c>
    </row>
    <row r="20" spans="1:5" ht="15" x14ac:dyDescent="0.25">
      <c r="A20" s="1" t="s">
        <v>128</v>
      </c>
      <c r="B20" s="137" t="s">
        <v>129</v>
      </c>
      <c r="C20" s="175"/>
    </row>
    <row r="21" spans="1:5" ht="14.25" x14ac:dyDescent="0.2">
      <c r="B21" s="180" t="s">
        <v>286</v>
      </c>
      <c r="C21" s="181">
        <v>4625</v>
      </c>
    </row>
    <row r="22" spans="1:5" ht="14.25" x14ac:dyDescent="0.2">
      <c r="B22" s="176" t="s">
        <v>287</v>
      </c>
      <c r="C22" s="177">
        <v>4694</v>
      </c>
    </row>
    <row r="23" spans="1:5" ht="14.25" x14ac:dyDescent="0.2">
      <c r="B23" s="176" t="s">
        <v>285</v>
      </c>
      <c r="C23" s="199">
        <f>C9-C10</f>
        <v>69</v>
      </c>
    </row>
    <row r="24" spans="1:5" ht="14.25" x14ac:dyDescent="0.2">
      <c r="B24" s="182"/>
      <c r="C24" s="183"/>
    </row>
    <row r="25" spans="1:5" s="97" customFormat="1" ht="15" x14ac:dyDescent="0.25">
      <c r="B25" s="138" t="s">
        <v>131</v>
      </c>
      <c r="C25" s="184">
        <f>MEDIAN(C21,C22)</f>
        <v>4659.5</v>
      </c>
    </row>
    <row r="26" spans="1:5" ht="15" x14ac:dyDescent="0.25">
      <c r="B26" s="140" t="s">
        <v>282</v>
      </c>
      <c r="C26" s="274">
        <f>C12/C25</f>
        <v>0.25582144006867691</v>
      </c>
    </row>
    <row r="27" spans="1:5" ht="15" x14ac:dyDescent="0.25">
      <c r="B27" s="140" t="s">
        <v>283</v>
      </c>
      <c r="C27" s="274">
        <f>MEDIAN(C9,C10)/C25</f>
        <v>0.44328790642772831</v>
      </c>
      <c r="E27" s="245"/>
    </row>
    <row r="28" spans="1:5" s="97" customFormat="1" ht="15" x14ac:dyDescent="0.25">
      <c r="B28" s="140" t="s">
        <v>237</v>
      </c>
      <c r="C28" s="272">
        <f>12/C27</f>
        <v>27.070442992011618</v>
      </c>
    </row>
    <row r="29" spans="1:5" ht="15" x14ac:dyDescent="0.25">
      <c r="B29" s="140" t="s">
        <v>130</v>
      </c>
      <c r="C29" s="142">
        <v>360</v>
      </c>
    </row>
    <row r="30" spans="1:5" ht="15" x14ac:dyDescent="0.25">
      <c r="B30" s="140" t="s">
        <v>232</v>
      </c>
      <c r="C30" s="142">
        <v>10</v>
      </c>
    </row>
    <row r="31" spans="1:5" ht="15" x14ac:dyDescent="0.25">
      <c r="B31" s="138" t="s">
        <v>233</v>
      </c>
      <c r="C31" s="141">
        <v>30</v>
      </c>
    </row>
    <row r="32" spans="1:5" ht="15" x14ac:dyDescent="0.25">
      <c r="B32" s="138" t="s">
        <v>234</v>
      </c>
      <c r="C32" s="141">
        <v>30</v>
      </c>
    </row>
    <row r="33" spans="2:4" s="97" customFormat="1" ht="15" x14ac:dyDescent="0.25">
      <c r="B33" s="138" t="s">
        <v>133</v>
      </c>
      <c r="C33" s="141">
        <f>30+(3*TRUNC(1/C27))</f>
        <v>36</v>
      </c>
    </row>
    <row r="34" spans="2:4" s="97" customFormat="1" ht="15" x14ac:dyDescent="0.25">
      <c r="B34" s="140" t="s">
        <v>42</v>
      </c>
      <c r="C34" s="273">
        <v>0.08</v>
      </c>
    </row>
    <row r="35" spans="2:4" s="97" customFormat="1" ht="15.75" thickBot="1" x14ac:dyDescent="0.3">
      <c r="B35" s="143" t="s">
        <v>132</v>
      </c>
      <c r="C35" s="275">
        <v>0.4</v>
      </c>
      <c r="D35" s="97" t="s">
        <v>289</v>
      </c>
    </row>
  </sheetData>
  <mergeCells count="1">
    <mergeCell ref="B7:C7"/>
  </mergeCells>
  <pageMargins left="0.90551181102362199" right="0.51181102362204722" top="0.74803149606299213" bottom="0.74803149606299213" header="0.31496062992125984" footer="0.31496062992125984"/>
  <pageSetup paperSize="9" scale="98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workbookViewId="0">
      <selection activeCell="D22" sqref="D22"/>
    </sheetView>
  </sheetViews>
  <sheetFormatPr defaultRowHeight="12.75" x14ac:dyDescent="0.2"/>
  <cols>
    <col min="1" max="1" width="41.85546875" bestFit="1" customWidth="1"/>
    <col min="2" max="2" width="5.5703125" bestFit="1" customWidth="1"/>
    <col min="3" max="3" width="12.42578125" customWidth="1"/>
    <col min="4" max="4" width="13.85546875" customWidth="1"/>
    <col min="5" max="5" width="11.7109375" style="111" customWidth="1"/>
    <col min="6" max="6" width="12" customWidth="1"/>
  </cols>
  <sheetData>
    <row r="1" spans="1:8" s="129" customFormat="1" ht="14.25" x14ac:dyDescent="0.2">
      <c r="A1" s="11" t="s">
        <v>196</v>
      </c>
      <c r="B1" s="8"/>
      <c r="C1" s="8"/>
      <c r="E1" s="130"/>
    </row>
    <row r="2" spans="1:8" s="129" customFormat="1" ht="14.25" x14ac:dyDescent="0.2">
      <c r="A2" s="124" t="s">
        <v>238</v>
      </c>
      <c r="B2" s="8"/>
      <c r="C2" s="8"/>
      <c r="E2" s="130"/>
    </row>
    <row r="3" spans="1:8" s="129" customFormat="1" ht="14.25" x14ac:dyDescent="0.2">
      <c r="A3" s="9" t="s">
        <v>197</v>
      </c>
      <c r="B3" s="8"/>
      <c r="C3" s="8"/>
      <c r="E3" s="130"/>
    </row>
    <row r="4" spans="1:8" s="129" customFormat="1" ht="14.25" x14ac:dyDescent="0.2">
      <c r="A4" s="9"/>
      <c r="B4" s="8"/>
      <c r="C4" s="8"/>
      <c r="E4" s="130"/>
    </row>
    <row r="5" spans="1:8" s="4" customFormat="1" ht="15.6" customHeight="1" x14ac:dyDescent="0.2">
      <c r="A5" s="269" t="s">
        <v>281</v>
      </c>
      <c r="B5" s="5"/>
      <c r="C5" s="5"/>
      <c r="D5" s="5"/>
      <c r="E5" s="5"/>
      <c r="F5" s="5"/>
      <c r="G5" s="6"/>
    </row>
    <row r="6" spans="1:8" s="4" customFormat="1" ht="16.5" customHeight="1" x14ac:dyDescent="0.2">
      <c r="A6" s="269" t="s">
        <v>278</v>
      </c>
      <c r="B6" s="5"/>
      <c r="C6" s="5"/>
      <c r="D6" s="6"/>
      <c r="E6" s="6"/>
      <c r="F6" s="6"/>
      <c r="G6" s="6"/>
    </row>
    <row r="7" spans="1:8" s="129" customFormat="1" ht="15" thickBot="1" x14ac:dyDescent="0.25">
      <c r="B7" s="8"/>
      <c r="C7" s="8"/>
      <c r="E7" s="130"/>
    </row>
    <row r="8" spans="1:8" ht="15.75" x14ac:dyDescent="0.2">
      <c r="A8" s="554" t="s">
        <v>218</v>
      </c>
      <c r="B8" s="555"/>
      <c r="C8" s="555"/>
      <c r="D8" s="555"/>
      <c r="E8" s="555"/>
      <c r="F8" s="556"/>
    </row>
    <row r="9" spans="1:8" ht="16.5" thickBot="1" x14ac:dyDescent="0.25">
      <c r="A9" s="232"/>
      <c r="B9" s="233"/>
      <c r="C9" s="233"/>
      <c r="D9" s="233"/>
      <c r="E9" s="233"/>
      <c r="F9" s="234"/>
    </row>
    <row r="10" spans="1:8" ht="15" x14ac:dyDescent="0.25">
      <c r="A10" s="185"/>
      <c r="B10" s="8"/>
      <c r="C10" s="8"/>
      <c r="D10" s="551" t="s">
        <v>235</v>
      </c>
      <c r="E10" s="552"/>
      <c r="F10" s="553"/>
      <c r="G10" s="129"/>
      <c r="H10" s="129"/>
    </row>
    <row r="11" spans="1:8" ht="15" thickBot="1" x14ac:dyDescent="0.25">
      <c r="A11" s="182"/>
      <c r="B11" s="129"/>
      <c r="C11" s="129"/>
      <c r="D11" s="186" t="s">
        <v>183</v>
      </c>
      <c r="E11" s="187" t="s">
        <v>184</v>
      </c>
      <c r="F11" s="188" t="s">
        <v>185</v>
      </c>
      <c r="G11" s="129"/>
      <c r="H11" s="129"/>
    </row>
    <row r="12" spans="1:8" ht="14.25" x14ac:dyDescent="0.2">
      <c r="A12" s="189" t="s">
        <v>74</v>
      </c>
      <c r="B12" s="190" t="s">
        <v>75</v>
      </c>
      <c r="C12" s="191">
        <v>5.0799999999999998E-2</v>
      </c>
      <c r="D12" s="212">
        <v>2.9700000000000001E-2</v>
      </c>
      <c r="E12" s="213">
        <v>5.0799999999999998E-2</v>
      </c>
      <c r="F12" s="214">
        <v>6.2700000000000006E-2</v>
      </c>
      <c r="G12" s="129"/>
      <c r="H12" s="129"/>
    </row>
    <row r="13" spans="1:8" ht="14.25" x14ac:dyDescent="0.2">
      <c r="A13" s="193" t="s">
        <v>76</v>
      </c>
      <c r="B13" s="194" t="s">
        <v>77</v>
      </c>
      <c r="C13" s="195">
        <v>1.4E-2</v>
      </c>
      <c r="D13" s="212">
        <f>0.3%+0.56%</f>
        <v>8.6E-3</v>
      </c>
      <c r="E13" s="213">
        <f>0.48%+0.85%</f>
        <v>1.3299999999999999E-2</v>
      </c>
      <c r="F13" s="214">
        <f>0.82%+0.89%</f>
        <v>1.7099999999999997E-2</v>
      </c>
      <c r="G13" s="129"/>
      <c r="H13" s="129"/>
    </row>
    <row r="14" spans="1:8" ht="14.25" x14ac:dyDescent="0.2">
      <c r="A14" s="193" t="s">
        <v>78</v>
      </c>
      <c r="B14" s="194" t="s">
        <v>79</v>
      </c>
      <c r="C14" s="195">
        <v>0.1085</v>
      </c>
      <c r="D14" s="212">
        <v>7.7799999999999994E-2</v>
      </c>
      <c r="E14" s="213">
        <v>0.1085</v>
      </c>
      <c r="F14" s="214">
        <v>0.13550000000000001</v>
      </c>
      <c r="G14" s="129"/>
      <c r="H14" s="129"/>
    </row>
    <row r="15" spans="1:8" ht="14.25" x14ac:dyDescent="0.2">
      <c r="A15" s="193" t="s">
        <v>80</v>
      </c>
      <c r="B15" s="194" t="s">
        <v>81</v>
      </c>
      <c r="C15" s="196">
        <v>1.35E-2</v>
      </c>
      <c r="D15" s="212" t="s">
        <v>269</v>
      </c>
      <c r="E15" s="197">
        <v>0.12</v>
      </c>
      <c r="F15" s="192"/>
      <c r="G15" s="129"/>
      <c r="H15" s="129"/>
    </row>
    <row r="16" spans="1:8" ht="14.25" x14ac:dyDescent="0.2">
      <c r="A16" s="193" t="s">
        <v>82</v>
      </c>
      <c r="B16" s="549" t="s">
        <v>83</v>
      </c>
      <c r="C16" s="195">
        <v>0.02</v>
      </c>
      <c r="D16" s="266" t="s">
        <v>186</v>
      </c>
      <c r="E16" s="198">
        <v>30</v>
      </c>
      <c r="F16" s="199"/>
      <c r="G16" s="129"/>
      <c r="H16" s="129"/>
    </row>
    <row r="17" spans="1:8" ht="15" thickBot="1" x14ac:dyDescent="0.25">
      <c r="A17" s="200" t="s">
        <v>84</v>
      </c>
      <c r="B17" s="550"/>
      <c r="C17" s="201">
        <v>3.6499999999999998E-2</v>
      </c>
      <c r="D17" s="176"/>
      <c r="E17" s="202"/>
      <c r="F17" s="199"/>
      <c r="G17" s="129"/>
      <c r="H17" s="129"/>
    </row>
    <row r="18" spans="1:8" ht="14.25" x14ac:dyDescent="0.2">
      <c r="A18" s="203" t="s">
        <v>85</v>
      </c>
      <c r="B18" s="204"/>
      <c r="C18" s="205"/>
      <c r="D18" s="176"/>
      <c r="E18" s="202"/>
      <c r="F18" s="199"/>
      <c r="G18" s="129"/>
      <c r="H18" s="129"/>
    </row>
    <row r="19" spans="1:8" ht="15" thickBot="1" x14ac:dyDescent="0.25">
      <c r="A19" s="206" t="s">
        <v>86</v>
      </c>
      <c r="B19" s="207"/>
      <c r="C19" s="208"/>
      <c r="D19" s="176"/>
      <c r="E19" s="202"/>
      <c r="F19" s="199"/>
      <c r="G19" s="129"/>
      <c r="H19" s="129"/>
    </row>
    <row r="20" spans="1:8" ht="15.75" thickBot="1" x14ac:dyDescent="0.25">
      <c r="A20" s="209" t="s">
        <v>87</v>
      </c>
      <c r="B20" s="210"/>
      <c r="C20" s="211">
        <f>ROUND((((1+C12+C13)*(1+C14)*(1+C15))/(1-(C16+C17))-1),4)</f>
        <v>0.26790000000000003</v>
      </c>
      <c r="D20" s="215">
        <v>0.21429999999999999</v>
      </c>
      <c r="E20" s="216">
        <v>0.2717</v>
      </c>
      <c r="F20" s="217">
        <v>0.3362</v>
      </c>
      <c r="G20" s="129"/>
      <c r="H20" s="129"/>
    </row>
    <row r="21" spans="1:8" ht="14.25" x14ac:dyDescent="0.2">
      <c r="A21" s="129"/>
      <c r="B21" s="129"/>
      <c r="C21" s="129"/>
      <c r="D21" s="129"/>
      <c r="E21" s="130"/>
      <c r="F21" s="129"/>
      <c r="G21" s="129"/>
      <c r="H21" s="129"/>
    </row>
    <row r="22" spans="1:8" ht="14.25" x14ac:dyDescent="0.2">
      <c r="A22" s="129"/>
      <c r="B22" s="129"/>
      <c r="C22" s="129"/>
      <c r="D22" s="129"/>
      <c r="E22" s="130"/>
      <c r="F22" s="129"/>
      <c r="G22" s="129"/>
      <c r="H22" s="129"/>
    </row>
    <row r="23" spans="1:8" ht="14.25" x14ac:dyDescent="0.2">
      <c r="A23" s="129"/>
      <c r="B23" s="129"/>
      <c r="C23" s="129"/>
      <c r="D23" s="129"/>
      <c r="E23" s="130"/>
      <c r="F23" s="129"/>
      <c r="G23" s="129"/>
      <c r="H23" s="129"/>
    </row>
    <row r="24" spans="1:8" ht="14.25" x14ac:dyDescent="0.2">
      <c r="A24" s="129"/>
      <c r="B24" s="129"/>
      <c r="C24" s="129"/>
      <c r="D24" s="129"/>
      <c r="E24" s="130"/>
      <c r="F24" s="129"/>
      <c r="G24" s="129"/>
      <c r="H24" s="129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5"/>
  <sheetViews>
    <sheetView zoomScale="80" zoomScaleNormal="80" workbookViewId="0">
      <selection activeCell="B12" sqref="B12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557" t="s">
        <v>220</v>
      </c>
      <c r="B1" s="558"/>
    </row>
    <row r="2" spans="1:2" s="97" customFormat="1" ht="19.5" customHeight="1" x14ac:dyDescent="0.2">
      <c r="A2" s="235" t="s">
        <v>199</v>
      </c>
      <c r="B2" s="236" t="s">
        <v>271</v>
      </c>
    </row>
    <row r="3" spans="1:2" ht="19.5" customHeight="1" x14ac:dyDescent="0.2">
      <c r="A3" s="145">
        <v>1</v>
      </c>
      <c r="B3" s="144">
        <v>33.629999999999995</v>
      </c>
    </row>
    <row r="4" spans="1:2" ht="19.5" customHeight="1" x14ac:dyDescent="0.2">
      <c r="A4" s="145">
        <v>2</v>
      </c>
      <c r="B4" s="144">
        <v>43.13</v>
      </c>
    </row>
    <row r="5" spans="1:2" ht="19.5" customHeight="1" x14ac:dyDescent="0.2">
      <c r="A5" s="145">
        <v>3</v>
      </c>
      <c r="B5" s="144">
        <v>48.68</v>
      </c>
    </row>
    <row r="6" spans="1:2" ht="19.5" customHeight="1" x14ac:dyDescent="0.2">
      <c r="A6" s="145">
        <v>4</v>
      </c>
      <c r="B6" s="144">
        <v>52.62</v>
      </c>
    </row>
    <row r="7" spans="1:2" ht="19.5" customHeight="1" x14ac:dyDescent="0.2">
      <c r="A7" s="145">
        <v>5</v>
      </c>
      <c r="B7" s="144">
        <v>55.679999999999993</v>
      </c>
    </row>
    <row r="8" spans="1:2" ht="19.5" customHeight="1" x14ac:dyDescent="0.2">
      <c r="A8" s="145">
        <v>6</v>
      </c>
      <c r="B8" s="144">
        <v>58.18</v>
      </c>
    </row>
    <row r="9" spans="1:2" ht="19.5" customHeight="1" x14ac:dyDescent="0.2">
      <c r="A9" s="486">
        <v>7</v>
      </c>
      <c r="B9" s="487">
        <v>60.29</v>
      </c>
    </row>
    <row r="10" spans="1:2" ht="19.5" customHeight="1" x14ac:dyDescent="0.2">
      <c r="A10" s="145">
        <v>8</v>
      </c>
      <c r="B10" s="144">
        <v>62.12</v>
      </c>
    </row>
    <row r="11" spans="1:2" ht="19.5" customHeight="1" x14ac:dyDescent="0.2">
      <c r="A11" s="145">
        <v>9</v>
      </c>
      <c r="B11" s="144">
        <v>63.73</v>
      </c>
    </row>
    <row r="12" spans="1:2" ht="19.5" customHeight="1" x14ac:dyDescent="0.2">
      <c r="A12" s="145">
        <v>10</v>
      </c>
      <c r="B12" s="144">
        <v>65.180000000000007</v>
      </c>
    </row>
    <row r="13" spans="1:2" ht="19.5" customHeight="1" x14ac:dyDescent="0.2">
      <c r="A13" s="145">
        <v>11</v>
      </c>
      <c r="B13" s="144">
        <v>66.47999999999999</v>
      </c>
    </row>
    <row r="14" spans="1:2" ht="19.5" customHeight="1" x14ac:dyDescent="0.2">
      <c r="A14" s="145">
        <v>12</v>
      </c>
      <c r="B14" s="144">
        <v>67.67</v>
      </c>
    </row>
    <row r="15" spans="1:2" ht="19.5" customHeight="1" x14ac:dyDescent="0.2">
      <c r="A15" s="145">
        <v>13</v>
      </c>
      <c r="B15" s="144">
        <v>68.77</v>
      </c>
    </row>
    <row r="16" spans="1:2" ht="19.5" customHeight="1" x14ac:dyDescent="0.2">
      <c r="A16" s="145">
        <v>14</v>
      </c>
      <c r="B16" s="144">
        <v>69.789999999999992</v>
      </c>
    </row>
    <row r="17" spans="1:5" ht="19.5" customHeight="1" thickBot="1" x14ac:dyDescent="0.25">
      <c r="A17" s="146">
        <v>15</v>
      </c>
      <c r="B17" s="147">
        <v>70.73</v>
      </c>
    </row>
    <row r="19" spans="1:5" ht="19.5" customHeight="1" x14ac:dyDescent="0.2">
      <c r="A19" s="245" t="s">
        <v>330</v>
      </c>
    </row>
    <row r="20" spans="1:5" ht="19.5" customHeight="1" x14ac:dyDescent="0.2">
      <c r="A20" s="245" t="s">
        <v>327</v>
      </c>
    </row>
    <row r="21" spans="1:5" ht="19.5" customHeight="1" x14ac:dyDescent="0.2">
      <c r="A21" s="245" t="s">
        <v>328</v>
      </c>
    </row>
    <row r="23" spans="1:5" ht="19.5" customHeight="1" x14ac:dyDescent="0.2">
      <c r="A23" s="332" t="s">
        <v>329</v>
      </c>
      <c r="B23" s="332"/>
      <c r="C23" s="332"/>
      <c r="D23" s="332"/>
      <c r="E23" s="332"/>
    </row>
    <row r="25" spans="1:5" ht="19.5" customHeight="1" x14ac:dyDescent="0.25">
      <c r="A25" s="512" t="s">
        <v>565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0"/>
  <sheetViews>
    <sheetView topLeftCell="A4" workbookViewId="0">
      <selection activeCell="D20" sqref="D20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21" t="s">
        <v>224</v>
      </c>
    </row>
    <row r="2" spans="1:1" x14ac:dyDescent="0.2">
      <c r="A2" s="218"/>
    </row>
    <row r="3" spans="1:1" x14ac:dyDescent="0.2">
      <c r="A3" s="218" t="s">
        <v>239</v>
      </c>
    </row>
    <row r="4" spans="1:1" x14ac:dyDescent="0.2">
      <c r="A4" s="218"/>
    </row>
    <row r="5" spans="1:1" x14ac:dyDescent="0.2">
      <c r="A5" s="218"/>
    </row>
    <row r="6" spans="1:1" x14ac:dyDescent="0.2">
      <c r="A6" s="218"/>
    </row>
    <row r="7" spans="1:1" x14ac:dyDescent="0.2">
      <c r="A7" s="218"/>
    </row>
    <row r="8" spans="1:1" x14ac:dyDescent="0.2">
      <c r="A8" s="218"/>
    </row>
    <row r="9" spans="1:1" x14ac:dyDescent="0.2">
      <c r="A9" s="218"/>
    </row>
    <row r="10" spans="1:1" x14ac:dyDescent="0.2">
      <c r="A10" s="218"/>
    </row>
    <row r="11" spans="1:1" x14ac:dyDescent="0.2">
      <c r="A11" s="218"/>
    </row>
    <row r="12" spans="1:1" ht="19.5" x14ac:dyDescent="0.35">
      <c r="A12" s="219" t="s">
        <v>221</v>
      </c>
    </row>
    <row r="13" spans="1:1" ht="15" x14ac:dyDescent="0.2">
      <c r="A13" s="219" t="s">
        <v>105</v>
      </c>
    </row>
    <row r="14" spans="1:1" ht="15" x14ac:dyDescent="0.2">
      <c r="A14" s="219" t="s">
        <v>108</v>
      </c>
    </row>
    <row r="15" spans="1:1" ht="19.5" x14ac:dyDescent="0.35">
      <c r="A15" s="219" t="s">
        <v>222</v>
      </c>
    </row>
    <row r="16" spans="1:1" ht="19.5" x14ac:dyDescent="0.35">
      <c r="A16" s="219" t="s">
        <v>223</v>
      </c>
    </row>
    <row r="17" spans="1:1" ht="15.75" thickBot="1" x14ac:dyDescent="0.25">
      <c r="A17" s="220" t="s">
        <v>106</v>
      </c>
    </row>
    <row r="20" spans="1:1" ht="30" x14ac:dyDescent="0.2">
      <c r="A20" s="566" t="s">
        <v>612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2"/>
  <sheetViews>
    <sheetView workbookViewId="0">
      <selection activeCell="M48" sqref="M48"/>
    </sheetView>
  </sheetViews>
  <sheetFormatPr defaultRowHeight="12.75" x14ac:dyDescent="0.2"/>
  <cols>
    <col min="1" max="1" width="58.28515625" style="245" customWidth="1"/>
    <col min="2" max="2" width="11.140625" style="245" bestFit="1" customWidth="1"/>
    <col min="3" max="3" width="11.28515625" style="245" bestFit="1" customWidth="1"/>
    <col min="4" max="16384" width="9.140625" style="245"/>
  </cols>
  <sheetData>
    <row r="1" spans="1:7" x14ac:dyDescent="0.2">
      <c r="A1" s="11" t="s">
        <v>196</v>
      </c>
    </row>
    <row r="2" spans="1:7" x14ac:dyDescent="0.2">
      <c r="A2" s="250" t="s">
        <v>246</v>
      </c>
    </row>
    <row r="3" spans="1:7" x14ac:dyDescent="0.2">
      <c r="A3" s="250" t="s">
        <v>272</v>
      </c>
    </row>
    <row r="4" spans="1:7" x14ac:dyDescent="0.2">
      <c r="A4" s="7" t="s">
        <v>270</v>
      </c>
    </row>
    <row r="5" spans="1:7" x14ac:dyDescent="0.2">
      <c r="A5" s="7"/>
    </row>
    <row r="6" spans="1:7" s="4" customFormat="1" ht="15.6" customHeight="1" x14ac:dyDescent="0.2">
      <c r="A6" s="269" t="s">
        <v>281</v>
      </c>
      <c r="B6" s="5"/>
      <c r="C6" s="5"/>
      <c r="D6" s="5"/>
      <c r="E6" s="5"/>
      <c r="F6" s="5"/>
      <c r="G6" s="6"/>
    </row>
    <row r="7" spans="1:7" s="4" customFormat="1" ht="16.5" customHeight="1" x14ac:dyDescent="0.2">
      <c r="A7" s="269" t="s">
        <v>278</v>
      </c>
      <c r="B7" s="5"/>
      <c r="C7" s="5"/>
      <c r="D7" s="6"/>
      <c r="E7" s="6"/>
      <c r="F7" s="6"/>
      <c r="G7" s="6"/>
    </row>
    <row r="8" spans="1:7" ht="13.5" thickBot="1" x14ac:dyDescent="0.25"/>
    <row r="9" spans="1:7" ht="18" x14ac:dyDescent="0.25">
      <c r="A9" s="559" t="s">
        <v>266</v>
      </c>
      <c r="B9" s="560"/>
      <c r="C9" s="561"/>
    </row>
    <row r="10" spans="1:7" ht="18" x14ac:dyDescent="0.25">
      <c r="A10" s="263"/>
      <c r="B10" s="262"/>
      <c r="C10" s="264"/>
    </row>
    <row r="11" spans="1:7" s="97" customFormat="1" ht="15" x14ac:dyDescent="0.25">
      <c r="A11" s="251" t="s">
        <v>267</v>
      </c>
      <c r="B11" s="252" t="s">
        <v>247</v>
      </c>
      <c r="C11" s="253" t="s">
        <v>136</v>
      </c>
    </row>
    <row r="12" spans="1:7" ht="14.25" x14ac:dyDescent="0.2">
      <c r="A12" s="176" t="s">
        <v>255</v>
      </c>
      <c r="B12" s="254" t="s">
        <v>248</v>
      </c>
      <c r="C12" s="177"/>
    </row>
    <row r="13" spans="1:7" ht="14.25" x14ac:dyDescent="0.2">
      <c r="A13" s="176" t="s">
        <v>256</v>
      </c>
      <c r="B13" s="254" t="s">
        <v>253</v>
      </c>
      <c r="C13" s="255">
        <f>0.0362741*C12^0.2336249</f>
        <v>0</v>
      </c>
    </row>
    <row r="14" spans="1:7" ht="14.25" x14ac:dyDescent="0.2">
      <c r="A14" s="176" t="s">
        <v>257</v>
      </c>
      <c r="B14" s="254" t="s">
        <v>254</v>
      </c>
      <c r="C14" s="256">
        <f>C12*C13/1000</f>
        <v>0</v>
      </c>
    </row>
    <row r="15" spans="1:7" ht="14.25" x14ac:dyDescent="0.2">
      <c r="A15" s="176" t="s">
        <v>263</v>
      </c>
      <c r="B15" s="254" t="s">
        <v>249</v>
      </c>
      <c r="C15" s="257">
        <v>2520</v>
      </c>
    </row>
    <row r="16" spans="1:7" ht="14.25" x14ac:dyDescent="0.2">
      <c r="A16" s="176" t="s">
        <v>259</v>
      </c>
      <c r="B16" s="254" t="s">
        <v>90</v>
      </c>
      <c r="C16" s="260">
        <v>6</v>
      </c>
    </row>
    <row r="17" spans="1:3" ht="14.25" x14ac:dyDescent="0.2">
      <c r="A17" s="176" t="s">
        <v>258</v>
      </c>
      <c r="B17" s="254" t="s">
        <v>254</v>
      </c>
      <c r="C17" s="256">
        <f>IFERROR(C14*7/C16,0)</f>
        <v>0</v>
      </c>
    </row>
    <row r="18" spans="1:3" ht="14.25" x14ac:dyDescent="0.2">
      <c r="A18" s="176" t="s">
        <v>250</v>
      </c>
      <c r="B18" s="254" t="s">
        <v>251</v>
      </c>
      <c r="C18" s="199">
        <v>500</v>
      </c>
    </row>
    <row r="19" spans="1:3" ht="14.25" x14ac:dyDescent="0.2">
      <c r="A19" s="176" t="s">
        <v>264</v>
      </c>
      <c r="B19" s="254"/>
      <c r="C19" s="177">
        <v>1</v>
      </c>
    </row>
    <row r="20" spans="1:3" ht="14.25" x14ac:dyDescent="0.2">
      <c r="A20" s="176" t="s">
        <v>265</v>
      </c>
      <c r="B20" s="254" t="s">
        <v>252</v>
      </c>
      <c r="C20" s="177">
        <v>12</v>
      </c>
    </row>
    <row r="21" spans="1:3" ht="14.25" x14ac:dyDescent="0.2">
      <c r="A21" s="176" t="s">
        <v>260</v>
      </c>
      <c r="B21" s="254" t="s">
        <v>249</v>
      </c>
      <c r="C21" s="199">
        <f>IF(AND(C20&gt;=15,C19=1),5.8,C20/2)</f>
        <v>6</v>
      </c>
    </row>
    <row r="22" spans="1:3" ht="14.25" x14ac:dyDescent="0.2">
      <c r="A22" s="176" t="s">
        <v>261</v>
      </c>
      <c r="B22" s="254"/>
      <c r="C22" s="256">
        <v>16.149999999999999</v>
      </c>
    </row>
    <row r="23" spans="1:3" ht="14.25" x14ac:dyDescent="0.2">
      <c r="A23" s="176" t="s">
        <v>268</v>
      </c>
      <c r="B23" s="254"/>
      <c r="C23" s="265">
        <v>2.7</v>
      </c>
    </row>
    <row r="24" spans="1:3" ht="15" thickBot="1" x14ac:dyDescent="0.25">
      <c r="A24" s="258" t="s">
        <v>262</v>
      </c>
      <c r="B24" s="259"/>
      <c r="C24" s="261">
        <f>IFERROR(C22/C23,0)</f>
        <v>5.981481481481481</v>
      </c>
    </row>
    <row r="26" spans="1:3" ht="14.25" x14ac:dyDescent="0.2">
      <c r="A26" s="333" t="s">
        <v>331</v>
      </c>
      <c r="B26" s="332"/>
    </row>
    <row r="28" spans="1:3" x14ac:dyDescent="0.2">
      <c r="A28" s="245" t="s">
        <v>508</v>
      </c>
    </row>
    <row r="30" spans="1:3" x14ac:dyDescent="0.2">
      <c r="A30" s="245" t="s">
        <v>509</v>
      </c>
    </row>
    <row r="32" spans="1:3" x14ac:dyDescent="0.2">
      <c r="A32" s="332" t="s">
        <v>510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6"/>
  <sheetViews>
    <sheetView topLeftCell="A3" workbookViewId="0">
      <selection activeCell="L50" sqref="L50"/>
    </sheetView>
  </sheetViews>
  <sheetFormatPr defaultRowHeight="12.75" x14ac:dyDescent="0.2"/>
  <cols>
    <col min="1" max="1" width="19.7109375" customWidth="1"/>
    <col min="2" max="2" width="8.42578125" style="484" customWidth="1"/>
    <col min="3" max="3" width="15" customWidth="1"/>
    <col min="4" max="4" width="11.28515625" customWidth="1"/>
    <col min="5" max="5" width="10.28515625" style="484" customWidth="1"/>
    <col min="6" max="6" width="14.140625" customWidth="1"/>
    <col min="7" max="7" width="9.85546875" style="485" customWidth="1"/>
    <col min="8" max="8" width="10.5703125" style="484" customWidth="1"/>
    <col min="9" max="9" width="16.5703125" customWidth="1"/>
    <col min="10" max="10" width="10.42578125" customWidth="1"/>
    <col min="11" max="11" width="13.42578125" style="483" customWidth="1"/>
    <col min="12" max="12" width="22.140625" customWidth="1"/>
  </cols>
  <sheetData>
    <row r="1" spans="1:12" x14ac:dyDescent="0.2">
      <c r="A1" s="562" t="s">
        <v>609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x14ac:dyDescent="0.2">
      <c r="A2" s="564"/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</row>
    <row r="3" spans="1:12" ht="22.5" x14ac:dyDescent="0.2">
      <c r="A3" s="463" t="s">
        <v>392</v>
      </c>
      <c r="B3" s="464" t="s">
        <v>393</v>
      </c>
      <c r="C3" s="463" t="s">
        <v>394</v>
      </c>
      <c r="D3" s="463" t="s">
        <v>395</v>
      </c>
      <c r="E3" s="465" t="s">
        <v>396</v>
      </c>
      <c r="F3" s="463" t="s">
        <v>394</v>
      </c>
      <c r="G3" s="463" t="s">
        <v>395</v>
      </c>
      <c r="H3" s="464" t="s">
        <v>397</v>
      </c>
      <c r="I3" s="463" t="s">
        <v>394</v>
      </c>
      <c r="J3" s="463" t="s">
        <v>395</v>
      </c>
      <c r="K3" s="466" t="s">
        <v>398</v>
      </c>
      <c r="L3" s="463" t="s">
        <v>399</v>
      </c>
    </row>
    <row r="4" spans="1:12" x14ac:dyDescent="0.2">
      <c r="A4" s="467" t="s">
        <v>400</v>
      </c>
      <c r="B4" s="468"/>
      <c r="C4" s="467"/>
      <c r="D4" s="467"/>
      <c r="E4" s="468"/>
      <c r="F4" s="467"/>
      <c r="G4" s="467"/>
      <c r="H4" s="468"/>
      <c r="I4" s="467"/>
      <c r="J4" s="467"/>
      <c r="K4" s="469"/>
      <c r="L4" s="467"/>
    </row>
    <row r="5" spans="1:12" x14ac:dyDescent="0.2">
      <c r="A5" s="467" t="s">
        <v>401</v>
      </c>
      <c r="B5" s="468">
        <v>7.99</v>
      </c>
      <c r="C5" s="467" t="s">
        <v>570</v>
      </c>
      <c r="D5" s="470">
        <v>45153</v>
      </c>
      <c r="E5" s="468">
        <v>5.0199999999999996</v>
      </c>
      <c r="F5" s="467" t="s">
        <v>571</v>
      </c>
      <c r="G5" s="470">
        <v>45153</v>
      </c>
      <c r="H5" s="468">
        <v>5.74</v>
      </c>
      <c r="I5" s="467" t="s">
        <v>572</v>
      </c>
      <c r="J5" s="470">
        <v>45153</v>
      </c>
      <c r="K5" s="514">
        <v>5.0199999999999996</v>
      </c>
      <c r="L5" s="467" t="s">
        <v>404</v>
      </c>
    </row>
    <row r="6" spans="1:12" x14ac:dyDescent="0.2">
      <c r="A6" s="467" t="s">
        <v>405</v>
      </c>
      <c r="B6" s="468">
        <v>8.1999999999999993</v>
      </c>
      <c r="C6" s="467" t="s">
        <v>402</v>
      </c>
      <c r="D6" s="470">
        <v>44910</v>
      </c>
      <c r="E6" s="468">
        <v>9.99</v>
      </c>
      <c r="F6" s="467" t="s">
        <v>403</v>
      </c>
      <c r="G6" s="470">
        <v>44910</v>
      </c>
      <c r="H6" s="468">
        <v>18.420000000000002</v>
      </c>
      <c r="I6" s="467" t="s">
        <v>406</v>
      </c>
      <c r="J6" s="470">
        <v>44910</v>
      </c>
      <c r="K6" s="469">
        <v>9.99</v>
      </c>
      <c r="L6" s="467"/>
    </row>
    <row r="7" spans="1:12" x14ac:dyDescent="0.2">
      <c r="A7" s="467" t="s">
        <v>407</v>
      </c>
      <c r="B7" s="468">
        <v>1.95</v>
      </c>
      <c r="C7" s="467" t="s">
        <v>403</v>
      </c>
      <c r="D7" s="470">
        <v>44910</v>
      </c>
      <c r="E7" s="468">
        <v>2.2400000000000002</v>
      </c>
      <c r="F7" s="467" t="s">
        <v>403</v>
      </c>
      <c r="G7" s="470">
        <v>44910</v>
      </c>
      <c r="H7" s="468">
        <v>4.29</v>
      </c>
      <c r="I7" s="467" t="s">
        <v>402</v>
      </c>
      <c r="J7" s="470">
        <v>44910</v>
      </c>
      <c r="K7" s="469">
        <v>2.2400000000000002</v>
      </c>
      <c r="L7" s="467" t="s">
        <v>408</v>
      </c>
    </row>
    <row r="8" spans="1:12" x14ac:dyDescent="0.2">
      <c r="A8" s="467" t="s">
        <v>409</v>
      </c>
      <c r="B8" s="468">
        <v>58.99</v>
      </c>
      <c r="C8" s="467" t="s">
        <v>403</v>
      </c>
      <c r="D8" s="470">
        <v>44910</v>
      </c>
      <c r="E8" s="468">
        <v>69</v>
      </c>
      <c r="F8" s="467" t="s">
        <v>403</v>
      </c>
      <c r="G8" s="470">
        <v>44910</v>
      </c>
      <c r="H8" s="468">
        <v>59.9</v>
      </c>
      <c r="I8" s="467" t="s">
        <v>410</v>
      </c>
      <c r="J8" s="470">
        <v>44910</v>
      </c>
      <c r="K8" s="469">
        <v>59.9</v>
      </c>
      <c r="L8" s="467" t="s">
        <v>411</v>
      </c>
    </row>
    <row r="9" spans="1:12" x14ac:dyDescent="0.2">
      <c r="A9" s="467" t="s">
        <v>412</v>
      </c>
      <c r="B9" s="468">
        <v>39.659999999999997</v>
      </c>
      <c r="C9" s="467" t="s">
        <v>403</v>
      </c>
      <c r="D9" s="470">
        <v>44910</v>
      </c>
      <c r="E9" s="468">
        <v>27.45</v>
      </c>
      <c r="F9" s="467" t="s">
        <v>403</v>
      </c>
      <c r="G9" s="470">
        <v>44910</v>
      </c>
      <c r="H9" s="468">
        <v>51.24</v>
      </c>
      <c r="I9" s="467" t="s">
        <v>410</v>
      </c>
      <c r="J9" s="470">
        <v>44910</v>
      </c>
      <c r="K9" s="469">
        <v>39.659999999999997</v>
      </c>
      <c r="L9" s="467"/>
    </row>
    <row r="10" spans="1:12" x14ac:dyDescent="0.2">
      <c r="A10" s="467" t="s">
        <v>413</v>
      </c>
      <c r="B10" s="468">
        <v>77.900000000000006</v>
      </c>
      <c r="C10" s="467" t="s">
        <v>414</v>
      </c>
      <c r="D10" s="470">
        <v>44910</v>
      </c>
      <c r="E10" s="468">
        <v>78.83</v>
      </c>
      <c r="F10" s="467" t="s">
        <v>403</v>
      </c>
      <c r="G10" s="470">
        <v>44910</v>
      </c>
      <c r="H10" s="468">
        <v>70.91</v>
      </c>
      <c r="I10" s="467" t="s">
        <v>415</v>
      </c>
      <c r="J10" s="470">
        <v>44910</v>
      </c>
      <c r="K10" s="469">
        <v>77.900000000000006</v>
      </c>
      <c r="L10" s="467"/>
    </row>
    <row r="11" spans="1:12" x14ac:dyDescent="0.2">
      <c r="A11" s="467" t="s">
        <v>416</v>
      </c>
      <c r="B11" s="468">
        <v>46.99</v>
      </c>
      <c r="C11" s="467" t="s">
        <v>403</v>
      </c>
      <c r="D11" s="470">
        <v>44911</v>
      </c>
      <c r="E11" s="468">
        <v>59.42</v>
      </c>
      <c r="F11" s="467" t="s">
        <v>403</v>
      </c>
      <c r="G11" s="470">
        <v>44911</v>
      </c>
      <c r="H11" s="468">
        <v>44.49</v>
      </c>
      <c r="I11" s="467" t="s">
        <v>417</v>
      </c>
      <c r="J11" s="470">
        <v>44910</v>
      </c>
      <c r="K11" s="469">
        <v>46.99</v>
      </c>
      <c r="L11" s="467"/>
    </row>
    <row r="12" spans="1:12" ht="22.5" x14ac:dyDescent="0.2">
      <c r="A12" s="467" t="s">
        <v>418</v>
      </c>
      <c r="B12" s="468">
        <v>63.04</v>
      </c>
      <c r="C12" s="467" t="s">
        <v>419</v>
      </c>
      <c r="D12" s="470">
        <v>44911</v>
      </c>
      <c r="E12" s="468">
        <v>64.47</v>
      </c>
      <c r="F12" s="467" t="s">
        <v>420</v>
      </c>
      <c r="G12" s="470">
        <v>44911</v>
      </c>
      <c r="H12" s="468">
        <v>74.75</v>
      </c>
      <c r="I12" s="467" t="s">
        <v>402</v>
      </c>
      <c r="J12" s="470">
        <v>44910</v>
      </c>
      <c r="K12" s="469">
        <v>64.47</v>
      </c>
      <c r="L12" s="467"/>
    </row>
    <row r="13" spans="1:12" x14ac:dyDescent="0.2">
      <c r="A13" s="471" t="s">
        <v>421</v>
      </c>
      <c r="B13" s="468">
        <v>11.9</v>
      </c>
      <c r="C13" s="467" t="s">
        <v>422</v>
      </c>
      <c r="D13" s="470">
        <v>44911</v>
      </c>
      <c r="E13" s="468">
        <v>5.77</v>
      </c>
      <c r="F13" s="467" t="s">
        <v>422</v>
      </c>
      <c r="G13" s="470">
        <v>44911</v>
      </c>
      <c r="H13" s="468">
        <v>10.98</v>
      </c>
      <c r="I13" s="467" t="s">
        <v>402</v>
      </c>
      <c r="J13" s="470">
        <v>44911</v>
      </c>
      <c r="K13" s="469">
        <v>10.98</v>
      </c>
      <c r="L13" s="467"/>
    </row>
    <row r="14" spans="1:12" x14ac:dyDescent="0.2">
      <c r="A14" s="467" t="s">
        <v>423</v>
      </c>
      <c r="B14" s="468">
        <v>9.32</v>
      </c>
      <c r="C14" s="467" t="s">
        <v>402</v>
      </c>
      <c r="D14" s="470">
        <v>44911</v>
      </c>
      <c r="E14" s="468">
        <v>25.17</v>
      </c>
      <c r="F14" s="467" t="s">
        <v>403</v>
      </c>
      <c r="G14" s="470">
        <v>44911</v>
      </c>
      <c r="H14" s="468">
        <v>20.99</v>
      </c>
      <c r="I14" s="467" t="s">
        <v>424</v>
      </c>
      <c r="J14" s="470">
        <v>44911</v>
      </c>
      <c r="K14" s="469">
        <v>20.99</v>
      </c>
      <c r="L14" s="467"/>
    </row>
    <row r="15" spans="1:12" ht="22.5" x14ac:dyDescent="0.2">
      <c r="A15" s="472" t="s">
        <v>425</v>
      </c>
      <c r="B15" s="473">
        <v>85.21</v>
      </c>
      <c r="C15" s="472" t="s">
        <v>402</v>
      </c>
      <c r="D15" s="474">
        <v>44911</v>
      </c>
      <c r="E15" s="475">
        <v>69.53</v>
      </c>
      <c r="F15" s="472" t="s">
        <v>422</v>
      </c>
      <c r="G15" s="474">
        <v>44911</v>
      </c>
      <c r="H15" s="473">
        <v>113.76</v>
      </c>
      <c r="I15" s="472" t="s">
        <v>403</v>
      </c>
      <c r="J15" s="472" t="s">
        <v>426</v>
      </c>
      <c r="K15" s="476">
        <v>85.21</v>
      </c>
      <c r="L15" s="472" t="s">
        <v>427</v>
      </c>
    </row>
    <row r="16" spans="1:12" x14ac:dyDescent="0.2">
      <c r="A16" s="467" t="s">
        <v>428</v>
      </c>
      <c r="B16" s="468">
        <v>50.19</v>
      </c>
      <c r="C16" s="467" t="s">
        <v>429</v>
      </c>
      <c r="D16" s="470">
        <v>44911</v>
      </c>
      <c r="E16" s="468">
        <v>54.96</v>
      </c>
      <c r="F16" s="467" t="s">
        <v>430</v>
      </c>
      <c r="G16" s="470">
        <v>44911</v>
      </c>
      <c r="H16" s="468">
        <v>63.72</v>
      </c>
      <c r="I16" s="467" t="s">
        <v>422</v>
      </c>
      <c r="J16" s="470">
        <v>44911</v>
      </c>
      <c r="K16" s="469">
        <v>54.96</v>
      </c>
      <c r="L16" s="467"/>
    </row>
    <row r="17" spans="1:12" ht="33.75" x14ac:dyDescent="0.2">
      <c r="A17" s="467" t="s">
        <v>431</v>
      </c>
      <c r="B17" s="484">
        <v>31</v>
      </c>
      <c r="C17" s="468" t="s">
        <v>606</v>
      </c>
      <c r="D17" s="470">
        <v>45047</v>
      </c>
      <c r="E17" s="468">
        <v>62.52</v>
      </c>
      <c r="F17" s="467" t="s">
        <v>607</v>
      </c>
      <c r="G17" s="470">
        <v>45047</v>
      </c>
      <c r="H17" s="468">
        <v>77.040000000000006</v>
      </c>
      <c r="I17" s="467" t="s">
        <v>608</v>
      </c>
      <c r="J17" s="470">
        <v>45170</v>
      </c>
      <c r="K17" s="514">
        <v>62.52</v>
      </c>
      <c r="L17" s="467" t="s">
        <v>432</v>
      </c>
    </row>
    <row r="18" spans="1:12" ht="33.75" x14ac:dyDescent="0.2">
      <c r="A18" s="467" t="s">
        <v>433</v>
      </c>
      <c r="B18" s="468">
        <v>128</v>
      </c>
      <c r="C18" s="467" t="s">
        <v>434</v>
      </c>
      <c r="D18" s="470">
        <v>44607</v>
      </c>
      <c r="E18" s="468">
        <v>100</v>
      </c>
      <c r="F18" s="467" t="s">
        <v>435</v>
      </c>
      <c r="G18" s="470">
        <v>44796</v>
      </c>
      <c r="H18" s="468">
        <v>10</v>
      </c>
      <c r="I18" s="467" t="s">
        <v>436</v>
      </c>
      <c r="J18" s="470">
        <v>44692</v>
      </c>
      <c r="K18" s="469">
        <v>100</v>
      </c>
      <c r="L18" s="467" t="s">
        <v>437</v>
      </c>
    </row>
    <row r="19" spans="1:12" x14ac:dyDescent="0.2">
      <c r="A19" s="467"/>
      <c r="B19" s="468"/>
      <c r="C19" s="467"/>
      <c r="D19" s="467"/>
      <c r="E19" s="468"/>
      <c r="F19" s="467"/>
      <c r="G19" s="467"/>
      <c r="H19" s="468"/>
      <c r="I19" s="467"/>
      <c r="J19" s="467"/>
      <c r="K19" s="469"/>
      <c r="L19" s="467"/>
    </row>
    <row r="20" spans="1:12" x14ac:dyDescent="0.2">
      <c r="A20" s="467"/>
      <c r="B20" s="468"/>
      <c r="C20" s="467"/>
      <c r="D20" s="467"/>
      <c r="E20" s="468"/>
      <c r="F20" s="467"/>
      <c r="G20" s="467"/>
      <c r="H20" s="468"/>
      <c r="I20" s="467"/>
      <c r="J20" s="467"/>
      <c r="K20" s="476"/>
      <c r="L20" s="467"/>
    </row>
    <row r="21" spans="1:12" x14ac:dyDescent="0.2">
      <c r="A21" s="467" t="s">
        <v>438</v>
      </c>
      <c r="B21" s="477"/>
      <c r="C21" s="478"/>
      <c r="D21" s="478"/>
      <c r="E21" s="477"/>
      <c r="F21" s="478"/>
      <c r="G21" s="479"/>
      <c r="H21" s="477"/>
      <c r="I21" s="478"/>
      <c r="J21" s="478"/>
      <c r="K21" s="480"/>
      <c r="L21" s="481"/>
    </row>
    <row r="22" spans="1:12" x14ac:dyDescent="0.2">
      <c r="A22" s="467"/>
      <c r="B22" s="468"/>
      <c r="C22" s="467"/>
      <c r="D22" s="467"/>
      <c r="E22" s="468"/>
      <c r="F22" s="467"/>
      <c r="G22" s="467"/>
      <c r="H22" s="468"/>
      <c r="I22" s="467"/>
      <c r="J22" s="467"/>
      <c r="K22" s="482"/>
      <c r="L22" s="467"/>
    </row>
    <row r="23" spans="1:12" x14ac:dyDescent="0.2">
      <c r="A23" s="467" t="s">
        <v>439</v>
      </c>
      <c r="B23" s="468">
        <v>29.9</v>
      </c>
      <c r="C23" s="467" t="s">
        <v>403</v>
      </c>
      <c r="D23" s="470">
        <v>44923</v>
      </c>
      <c r="E23" s="468">
        <v>33.96</v>
      </c>
      <c r="F23" s="467" t="s">
        <v>422</v>
      </c>
      <c r="G23" s="470">
        <v>44923</v>
      </c>
      <c r="H23" s="468">
        <v>39.67</v>
      </c>
      <c r="I23" s="467" t="s">
        <v>440</v>
      </c>
      <c r="J23" s="470">
        <v>44923</v>
      </c>
      <c r="K23" s="469">
        <v>33.96</v>
      </c>
      <c r="L23" s="467"/>
    </row>
    <row r="24" spans="1:12" x14ac:dyDescent="0.2">
      <c r="A24" s="467" t="s">
        <v>441</v>
      </c>
      <c r="B24" s="468">
        <v>52.76</v>
      </c>
      <c r="C24" s="467" t="s">
        <v>403</v>
      </c>
      <c r="D24" s="470">
        <v>44912</v>
      </c>
      <c r="E24" s="468">
        <v>75.67</v>
      </c>
      <c r="F24" s="467" t="s">
        <v>442</v>
      </c>
      <c r="G24" s="470">
        <v>44911</v>
      </c>
      <c r="H24" s="468">
        <v>51.06</v>
      </c>
      <c r="I24" s="467" t="s">
        <v>422</v>
      </c>
      <c r="J24" s="470">
        <v>44911</v>
      </c>
      <c r="K24" s="469">
        <v>52.76</v>
      </c>
      <c r="L24" s="467"/>
    </row>
    <row r="25" spans="1:12" x14ac:dyDescent="0.2">
      <c r="A25" s="467" t="s">
        <v>443</v>
      </c>
      <c r="B25" s="468">
        <v>11.22</v>
      </c>
      <c r="C25" s="467" t="s">
        <v>444</v>
      </c>
      <c r="D25" s="470">
        <v>44923</v>
      </c>
      <c r="E25" s="468">
        <v>23.83</v>
      </c>
      <c r="F25" s="467" t="s">
        <v>403</v>
      </c>
      <c r="G25" s="470">
        <v>44915</v>
      </c>
      <c r="H25" s="468">
        <v>50.52</v>
      </c>
      <c r="I25" s="467" t="s">
        <v>402</v>
      </c>
      <c r="J25" s="470">
        <v>44923</v>
      </c>
      <c r="K25" s="469">
        <v>23.83</v>
      </c>
      <c r="L25" s="467"/>
    </row>
    <row r="26" spans="1:12" x14ac:dyDescent="0.2">
      <c r="A26" s="467" t="s">
        <v>360</v>
      </c>
      <c r="B26" s="468">
        <v>23.75</v>
      </c>
      <c r="C26" s="467" t="s">
        <v>422</v>
      </c>
      <c r="D26" s="470">
        <v>44911</v>
      </c>
      <c r="E26" s="468">
        <v>51.1</v>
      </c>
      <c r="F26" s="467" t="s">
        <v>445</v>
      </c>
      <c r="G26" s="470">
        <v>44911</v>
      </c>
      <c r="H26" s="468">
        <v>27.4</v>
      </c>
      <c r="I26" s="467" t="s">
        <v>422</v>
      </c>
      <c r="J26" s="470">
        <v>44911</v>
      </c>
      <c r="K26" s="469">
        <v>27.4</v>
      </c>
      <c r="L26" s="467"/>
    </row>
    <row r="27" spans="1:12" x14ac:dyDescent="0.2">
      <c r="A27" s="467" t="s">
        <v>446</v>
      </c>
      <c r="B27" s="468">
        <v>38.92</v>
      </c>
      <c r="C27" s="467" t="s">
        <v>605</v>
      </c>
      <c r="D27" s="470">
        <v>45170</v>
      </c>
      <c r="E27" s="468">
        <v>42.9</v>
      </c>
      <c r="F27" s="467" t="s">
        <v>402</v>
      </c>
      <c r="G27" s="470">
        <v>45170</v>
      </c>
      <c r="H27" s="468">
        <v>55.11</v>
      </c>
      <c r="I27" s="467" t="s">
        <v>574</v>
      </c>
      <c r="J27" s="470">
        <v>45170</v>
      </c>
      <c r="K27" s="514">
        <v>42.9</v>
      </c>
      <c r="L27" s="467"/>
    </row>
    <row r="28" spans="1:12" ht="22.5" x14ac:dyDescent="0.2">
      <c r="A28" s="467" t="s">
        <v>447</v>
      </c>
      <c r="B28" s="468">
        <v>306.89999999999998</v>
      </c>
      <c r="C28" s="467" t="s">
        <v>573</v>
      </c>
      <c r="D28" s="470">
        <v>45153</v>
      </c>
      <c r="E28" s="468">
        <v>283.8</v>
      </c>
      <c r="F28" s="467" t="s">
        <v>574</v>
      </c>
      <c r="G28" s="470">
        <v>45153</v>
      </c>
      <c r="H28" s="468">
        <v>353.73</v>
      </c>
      <c r="I28" s="467" t="s">
        <v>575</v>
      </c>
      <c r="J28" s="470">
        <v>45153</v>
      </c>
      <c r="K28" s="514">
        <v>283.8</v>
      </c>
      <c r="L28" s="467" t="s">
        <v>449</v>
      </c>
    </row>
    <row r="29" spans="1:12" ht="22.5" x14ac:dyDescent="0.2">
      <c r="A29" s="467" t="s">
        <v>450</v>
      </c>
      <c r="B29" s="468">
        <v>1288</v>
      </c>
      <c r="C29" s="467" t="s">
        <v>576</v>
      </c>
      <c r="D29" s="470">
        <v>45057</v>
      </c>
      <c r="E29" s="468">
        <v>1599.53</v>
      </c>
      <c r="F29" s="467" t="s">
        <v>577</v>
      </c>
      <c r="G29" s="470">
        <v>45022</v>
      </c>
      <c r="H29" s="468">
        <v>1859.98</v>
      </c>
      <c r="I29" s="467" t="s">
        <v>402</v>
      </c>
      <c r="J29" s="470">
        <v>45147</v>
      </c>
      <c r="K29" s="514">
        <v>1559.53</v>
      </c>
      <c r="L29" s="467" t="s">
        <v>451</v>
      </c>
    </row>
    <row r="30" spans="1:12" ht="22.5" x14ac:dyDescent="0.2">
      <c r="A30" s="467" t="s">
        <v>452</v>
      </c>
      <c r="B30" s="468">
        <v>244.33</v>
      </c>
      <c r="C30" s="467" t="s">
        <v>578</v>
      </c>
      <c r="D30" s="470">
        <v>45164</v>
      </c>
      <c r="E30" s="468">
        <v>253.69</v>
      </c>
      <c r="F30" s="467" t="s">
        <v>403</v>
      </c>
      <c r="G30" s="470">
        <v>45164</v>
      </c>
      <c r="H30" s="468">
        <v>507.37</v>
      </c>
      <c r="I30" s="467" t="s">
        <v>402</v>
      </c>
      <c r="J30" s="470">
        <v>45164</v>
      </c>
      <c r="K30" s="514">
        <v>253.69</v>
      </c>
      <c r="L30" s="467"/>
    </row>
    <row r="31" spans="1:12" x14ac:dyDescent="0.2">
      <c r="A31" s="467" t="s">
        <v>453</v>
      </c>
      <c r="B31" s="468">
        <v>74.78</v>
      </c>
      <c r="C31" s="467" t="s">
        <v>403</v>
      </c>
      <c r="D31" s="470">
        <v>44912</v>
      </c>
      <c r="E31" s="468">
        <v>61.34</v>
      </c>
      <c r="F31" s="467" t="s">
        <v>403</v>
      </c>
      <c r="G31" s="470">
        <v>44912</v>
      </c>
      <c r="H31" s="468">
        <v>45.69</v>
      </c>
      <c r="I31" s="467" t="s">
        <v>402</v>
      </c>
      <c r="J31" s="470">
        <v>44912</v>
      </c>
      <c r="K31" s="469">
        <v>61.34</v>
      </c>
      <c r="L31" s="467"/>
    </row>
    <row r="32" spans="1:12" x14ac:dyDescent="0.2">
      <c r="A32" s="467" t="s">
        <v>454</v>
      </c>
      <c r="B32" s="468">
        <v>1729.86</v>
      </c>
      <c r="C32" s="467" t="s">
        <v>579</v>
      </c>
      <c r="D32" s="470">
        <v>45153</v>
      </c>
      <c r="E32" s="468">
        <v>2434.64</v>
      </c>
      <c r="F32" s="467" t="s">
        <v>580</v>
      </c>
      <c r="G32" s="470">
        <v>45153</v>
      </c>
      <c r="H32" s="468">
        <v>1980.22</v>
      </c>
      <c r="I32" s="467" t="s">
        <v>581</v>
      </c>
      <c r="J32" s="470">
        <v>45153</v>
      </c>
      <c r="K32" s="514">
        <v>1980.22</v>
      </c>
      <c r="L32" s="467"/>
    </row>
    <row r="33" spans="1:12" x14ac:dyDescent="0.2">
      <c r="A33" s="467" t="s">
        <v>455</v>
      </c>
      <c r="B33" s="468">
        <v>399.9</v>
      </c>
      <c r="C33" s="467" t="s">
        <v>448</v>
      </c>
      <c r="D33" s="470">
        <v>45156</v>
      </c>
      <c r="E33" s="468">
        <v>479.55</v>
      </c>
      <c r="F33" s="467" t="s">
        <v>582</v>
      </c>
      <c r="G33" s="470">
        <v>45156</v>
      </c>
      <c r="H33" s="468">
        <v>569.80999999999995</v>
      </c>
      <c r="I33" s="467" t="s">
        <v>402</v>
      </c>
      <c r="J33" s="470">
        <v>45156</v>
      </c>
      <c r="K33" s="514">
        <v>479.55</v>
      </c>
      <c r="L33" s="467"/>
    </row>
    <row r="34" spans="1:12" ht="22.5" x14ac:dyDescent="0.2">
      <c r="A34" s="467" t="s">
        <v>456</v>
      </c>
      <c r="B34" s="468">
        <v>0.81</v>
      </c>
      <c r="C34" s="467" t="s">
        <v>403</v>
      </c>
      <c r="D34" s="470">
        <v>45166</v>
      </c>
      <c r="E34" s="468">
        <v>0.47</v>
      </c>
      <c r="F34" s="467" t="s">
        <v>403</v>
      </c>
      <c r="G34" s="470">
        <v>45153</v>
      </c>
      <c r="H34" s="468">
        <v>0.48</v>
      </c>
      <c r="I34" s="467" t="s">
        <v>403</v>
      </c>
      <c r="J34" s="470">
        <v>45153</v>
      </c>
      <c r="K34" s="514">
        <v>0.47</v>
      </c>
      <c r="L34" s="467" t="s">
        <v>554</v>
      </c>
    </row>
    <row r="35" spans="1:12" x14ac:dyDescent="0.2">
      <c r="A35" s="467"/>
      <c r="B35" s="468"/>
      <c r="C35" s="467"/>
      <c r="D35" s="467"/>
      <c r="E35" s="468"/>
      <c r="F35" s="467"/>
      <c r="G35" s="467"/>
      <c r="H35" s="468"/>
      <c r="I35" s="467"/>
      <c r="J35" s="467"/>
      <c r="K35" s="469"/>
      <c r="L35" s="467"/>
    </row>
    <row r="36" spans="1:12" x14ac:dyDescent="0.2">
      <c r="A36" s="467"/>
      <c r="B36" s="468"/>
      <c r="C36" s="467"/>
      <c r="D36" s="467"/>
      <c r="E36" s="468"/>
      <c r="F36" s="467"/>
      <c r="G36" s="467"/>
      <c r="H36" s="468"/>
      <c r="I36" s="467"/>
      <c r="J36" s="467"/>
      <c r="K36" s="469"/>
      <c r="L36" s="467"/>
    </row>
    <row r="37" spans="1:12" x14ac:dyDescent="0.2">
      <c r="A37" s="467" t="s">
        <v>457</v>
      </c>
      <c r="B37" s="468"/>
      <c r="C37" s="467"/>
      <c r="D37" s="467"/>
      <c r="E37" s="468"/>
      <c r="F37" s="467"/>
      <c r="G37" s="467"/>
      <c r="H37" s="468"/>
      <c r="I37" s="467"/>
      <c r="J37" s="467"/>
      <c r="K37" s="469"/>
      <c r="L37" s="467"/>
    </row>
    <row r="38" spans="1:12" x14ac:dyDescent="0.2">
      <c r="A38" s="467"/>
      <c r="B38" s="468"/>
      <c r="C38" s="467"/>
      <c r="D38" s="467"/>
      <c r="E38" s="468"/>
      <c r="F38" s="467"/>
      <c r="G38" s="467"/>
      <c r="H38" s="468"/>
      <c r="I38" s="467"/>
      <c r="J38" s="467"/>
      <c r="K38" s="469"/>
      <c r="L38" s="467"/>
    </row>
    <row r="39" spans="1:12" ht="33.75" x14ac:dyDescent="0.2">
      <c r="A39" s="467" t="s">
        <v>458</v>
      </c>
      <c r="B39" s="468">
        <v>480590</v>
      </c>
      <c r="C39" s="467" t="s">
        <v>459</v>
      </c>
      <c r="D39" s="470">
        <v>44708</v>
      </c>
      <c r="E39" s="468">
        <v>468000</v>
      </c>
      <c r="F39" s="467" t="s">
        <v>460</v>
      </c>
      <c r="G39" s="470">
        <v>44659</v>
      </c>
      <c r="H39" s="468">
        <v>505000</v>
      </c>
      <c r="I39" s="467" t="s">
        <v>461</v>
      </c>
      <c r="J39" s="470">
        <v>44531</v>
      </c>
      <c r="K39" s="469">
        <v>480590</v>
      </c>
      <c r="L39" s="467" t="s">
        <v>462</v>
      </c>
    </row>
    <row r="40" spans="1:12" ht="45" x14ac:dyDescent="0.2">
      <c r="A40" s="467" t="s">
        <v>583</v>
      </c>
      <c r="B40" s="468">
        <v>405748</v>
      </c>
      <c r="C40" s="467" t="s">
        <v>584</v>
      </c>
      <c r="D40" s="470">
        <v>45162</v>
      </c>
      <c r="E40" s="468">
        <v>377745</v>
      </c>
      <c r="F40" s="467" t="s">
        <v>585</v>
      </c>
      <c r="G40" s="470">
        <v>45162</v>
      </c>
      <c r="H40" s="468">
        <v>482398</v>
      </c>
      <c r="I40" s="467" t="s">
        <v>586</v>
      </c>
      <c r="J40" s="470">
        <v>45169</v>
      </c>
      <c r="K40" s="514">
        <v>405748</v>
      </c>
      <c r="L40" s="467"/>
    </row>
    <row r="41" spans="1:12" ht="67.5" x14ac:dyDescent="0.2">
      <c r="A41" s="467" t="s">
        <v>587</v>
      </c>
      <c r="B41" s="468">
        <v>225000</v>
      </c>
      <c r="C41" s="467" t="s">
        <v>588</v>
      </c>
      <c r="D41" s="470">
        <v>45147</v>
      </c>
      <c r="E41" s="468">
        <v>202520</v>
      </c>
      <c r="F41" s="467" t="s">
        <v>589</v>
      </c>
      <c r="G41" s="470">
        <v>45049</v>
      </c>
      <c r="H41" s="468" t="s">
        <v>590</v>
      </c>
      <c r="I41" s="467" t="s">
        <v>591</v>
      </c>
      <c r="J41" s="470">
        <v>44470</v>
      </c>
      <c r="K41" s="514">
        <v>202520</v>
      </c>
      <c r="L41" s="467"/>
    </row>
    <row r="42" spans="1:12" ht="33.75" x14ac:dyDescent="0.2">
      <c r="A42" s="467" t="s">
        <v>600</v>
      </c>
      <c r="B42" s="468">
        <v>81702</v>
      </c>
      <c r="C42" s="467" t="s">
        <v>592</v>
      </c>
      <c r="D42" s="470">
        <v>45163</v>
      </c>
      <c r="E42" s="468">
        <v>74236</v>
      </c>
      <c r="F42" s="467" t="s">
        <v>593</v>
      </c>
      <c r="G42" s="470">
        <v>45163</v>
      </c>
      <c r="H42" s="468">
        <v>83117</v>
      </c>
      <c r="I42" s="467" t="s">
        <v>594</v>
      </c>
      <c r="J42" s="470">
        <v>45163</v>
      </c>
      <c r="K42" s="514">
        <v>74236</v>
      </c>
      <c r="L42" s="467"/>
    </row>
    <row r="43" spans="1:12" x14ac:dyDescent="0.2">
      <c r="A43" s="467"/>
      <c r="B43" s="468"/>
      <c r="C43" s="467"/>
      <c r="D43" s="470"/>
      <c r="E43" s="468"/>
      <c r="F43" s="467"/>
      <c r="G43" s="470"/>
      <c r="H43" s="468"/>
      <c r="I43" s="467"/>
      <c r="J43" s="470"/>
      <c r="K43" s="469"/>
      <c r="L43" s="467"/>
    </row>
    <row r="44" spans="1:12" ht="33.75" x14ac:dyDescent="0.2">
      <c r="A44" s="467" t="s">
        <v>533</v>
      </c>
      <c r="B44" s="468">
        <v>200</v>
      </c>
      <c r="C44" s="467" t="s">
        <v>436</v>
      </c>
      <c r="D44" s="470">
        <v>44692</v>
      </c>
      <c r="E44" s="468">
        <v>100</v>
      </c>
      <c r="F44" s="467" t="s">
        <v>435</v>
      </c>
      <c r="G44" s="470">
        <v>44796</v>
      </c>
      <c r="H44" s="468">
        <v>50</v>
      </c>
      <c r="I44" s="467" t="s">
        <v>463</v>
      </c>
      <c r="J44" s="470">
        <v>44755</v>
      </c>
      <c r="K44" s="469">
        <v>100</v>
      </c>
      <c r="L44" s="467"/>
    </row>
    <row r="45" spans="1:12" ht="33.75" x14ac:dyDescent="0.2">
      <c r="A45" s="467" t="s">
        <v>534</v>
      </c>
      <c r="B45" s="468">
        <v>50</v>
      </c>
      <c r="C45" s="467" t="s">
        <v>436</v>
      </c>
      <c r="D45" s="470">
        <v>44692</v>
      </c>
      <c r="E45" s="468">
        <v>100</v>
      </c>
      <c r="F45" s="467" t="s">
        <v>435</v>
      </c>
      <c r="G45" s="470">
        <v>44796</v>
      </c>
      <c r="H45" s="468">
        <v>50</v>
      </c>
      <c r="I45" s="467" t="s">
        <v>463</v>
      </c>
      <c r="J45" s="470">
        <v>44755</v>
      </c>
      <c r="K45" s="469">
        <v>50</v>
      </c>
      <c r="L45" s="467" t="s">
        <v>464</v>
      </c>
    </row>
    <row r="46" spans="1:12" x14ac:dyDescent="0.2">
      <c r="B46" s="468"/>
      <c r="C46" s="467"/>
      <c r="D46" s="467"/>
      <c r="E46" s="468"/>
      <c r="F46" s="467"/>
      <c r="G46" s="467"/>
      <c r="H46" s="468"/>
      <c r="I46" s="467"/>
      <c r="J46" s="467"/>
      <c r="K46" s="469"/>
      <c r="L46" s="467"/>
    </row>
    <row r="47" spans="1:12" x14ac:dyDescent="0.2">
      <c r="A47" s="467"/>
      <c r="B47" s="468"/>
      <c r="C47" s="467"/>
      <c r="D47" s="467"/>
      <c r="E47" s="468"/>
      <c r="F47" s="467"/>
      <c r="G47" s="467"/>
      <c r="H47" s="468"/>
      <c r="I47" s="467"/>
      <c r="J47" s="467"/>
      <c r="K47" s="469"/>
      <c r="L47" s="467"/>
    </row>
    <row r="48" spans="1:12" x14ac:dyDescent="0.2">
      <c r="A48" s="467" t="s">
        <v>465</v>
      </c>
      <c r="B48" s="468"/>
      <c r="C48" s="467"/>
      <c r="D48" s="467"/>
      <c r="E48" s="468"/>
      <c r="F48" s="467"/>
      <c r="G48" s="467"/>
      <c r="H48" s="468"/>
      <c r="I48" s="467"/>
      <c r="J48" s="467"/>
      <c r="K48" s="469"/>
      <c r="L48" s="467"/>
    </row>
    <row r="49" spans="1:12" x14ac:dyDescent="0.2">
      <c r="A49" s="467"/>
      <c r="B49" s="468"/>
      <c r="C49" s="467"/>
      <c r="D49" s="467"/>
      <c r="E49" s="468"/>
      <c r="F49" s="467"/>
      <c r="G49" s="467"/>
      <c r="H49" s="468"/>
      <c r="I49" s="467"/>
      <c r="J49" s="467"/>
      <c r="K49" s="469"/>
      <c r="L49" s="467"/>
    </row>
    <row r="50" spans="1:12" x14ac:dyDescent="0.2">
      <c r="A50" s="467" t="s">
        <v>466</v>
      </c>
      <c r="B50" s="468"/>
      <c r="C50" s="467"/>
      <c r="D50" s="470"/>
      <c r="E50" s="488">
        <v>5.0199999999999996</v>
      </c>
      <c r="F50" s="489" t="s">
        <v>467</v>
      </c>
      <c r="G50" s="490">
        <v>45152</v>
      </c>
      <c r="H50" s="488">
        <v>5.55</v>
      </c>
      <c r="I50" s="489" t="s">
        <v>595</v>
      </c>
      <c r="J50" s="490">
        <v>45159</v>
      </c>
      <c r="K50" s="491">
        <v>5.55</v>
      </c>
      <c r="L50" s="467"/>
    </row>
    <row r="51" spans="1:12" x14ac:dyDescent="0.2">
      <c r="A51" s="467" t="s">
        <v>468</v>
      </c>
      <c r="B51" s="468"/>
      <c r="C51" s="467"/>
      <c r="D51" s="470"/>
      <c r="E51" s="488">
        <v>5.55</v>
      </c>
      <c r="F51" s="489" t="s">
        <v>467</v>
      </c>
      <c r="G51" s="490">
        <v>45152</v>
      </c>
      <c r="H51" s="488">
        <v>5.72</v>
      </c>
      <c r="I51" s="489" t="s">
        <v>595</v>
      </c>
      <c r="J51" s="490">
        <v>45159</v>
      </c>
      <c r="K51" s="491">
        <v>5.72</v>
      </c>
      <c r="L51" s="467"/>
    </row>
    <row r="52" spans="1:12" x14ac:dyDescent="0.2">
      <c r="A52" s="467" t="s">
        <v>469</v>
      </c>
      <c r="B52" s="468">
        <v>7.75</v>
      </c>
      <c r="C52" s="467" t="s">
        <v>403</v>
      </c>
      <c r="D52" s="470">
        <v>44914</v>
      </c>
      <c r="E52" s="468">
        <v>8.15</v>
      </c>
      <c r="F52" s="467" t="s">
        <v>403</v>
      </c>
      <c r="G52" s="470">
        <v>44914</v>
      </c>
      <c r="H52" s="468">
        <v>8.74</v>
      </c>
      <c r="I52" s="467" t="s">
        <v>402</v>
      </c>
      <c r="J52" s="470">
        <v>44914</v>
      </c>
      <c r="K52" s="469">
        <v>8.15</v>
      </c>
      <c r="L52" s="467" t="s">
        <v>470</v>
      </c>
    </row>
    <row r="53" spans="1:12" ht="22.5" x14ac:dyDescent="0.2">
      <c r="A53" s="467" t="s">
        <v>471</v>
      </c>
      <c r="B53" s="468">
        <v>66.56</v>
      </c>
      <c r="C53" s="467" t="s">
        <v>403</v>
      </c>
      <c r="D53" s="470">
        <v>44914</v>
      </c>
      <c r="E53" s="468">
        <v>57.36</v>
      </c>
      <c r="F53" s="467" t="s">
        <v>403</v>
      </c>
      <c r="G53" s="470">
        <v>44914</v>
      </c>
      <c r="H53" s="468">
        <v>48.04</v>
      </c>
      <c r="I53" s="467" t="s">
        <v>403</v>
      </c>
      <c r="J53" s="470">
        <v>44914</v>
      </c>
      <c r="K53" s="469">
        <v>57.36</v>
      </c>
      <c r="L53" s="467" t="s">
        <v>470</v>
      </c>
    </row>
    <row r="54" spans="1:12" ht="22.5" x14ac:dyDescent="0.2">
      <c r="A54" s="467" t="s">
        <v>472</v>
      </c>
      <c r="B54" s="468">
        <v>43.29</v>
      </c>
      <c r="C54" s="467" t="s">
        <v>473</v>
      </c>
      <c r="D54" s="470">
        <v>44915</v>
      </c>
      <c r="E54" s="468">
        <v>27.49</v>
      </c>
      <c r="F54" s="467" t="s">
        <v>403</v>
      </c>
      <c r="G54" s="470">
        <v>44915</v>
      </c>
      <c r="H54" s="468">
        <v>36.99</v>
      </c>
      <c r="I54" s="467" t="s">
        <v>474</v>
      </c>
      <c r="J54" s="470">
        <v>44915</v>
      </c>
      <c r="K54" s="469">
        <v>36.99</v>
      </c>
      <c r="L54" s="467" t="s">
        <v>470</v>
      </c>
    </row>
    <row r="55" spans="1:12" x14ac:dyDescent="0.2">
      <c r="A55" s="467" t="s">
        <v>475</v>
      </c>
      <c r="B55" s="468">
        <v>23.5</v>
      </c>
      <c r="C55" s="467" t="s">
        <v>403</v>
      </c>
      <c r="D55" s="470">
        <v>45154</v>
      </c>
      <c r="E55" s="468">
        <v>27.17</v>
      </c>
      <c r="F55" s="467" t="s">
        <v>402</v>
      </c>
      <c r="G55" s="470">
        <v>45154</v>
      </c>
      <c r="H55" s="468">
        <v>29.21</v>
      </c>
      <c r="I55" s="467" t="s">
        <v>596</v>
      </c>
      <c r="J55" s="470">
        <v>45154</v>
      </c>
      <c r="K55" s="514">
        <v>27.17</v>
      </c>
      <c r="L55" s="467" t="s">
        <v>470</v>
      </c>
    </row>
    <row r="56" spans="1:12" x14ac:dyDescent="0.2">
      <c r="A56" s="467" t="s">
        <v>476</v>
      </c>
      <c r="B56" s="468">
        <v>58.94</v>
      </c>
      <c r="C56" s="467" t="s">
        <v>403</v>
      </c>
      <c r="D56" s="470">
        <v>44915</v>
      </c>
      <c r="E56" s="468">
        <v>40.46</v>
      </c>
      <c r="F56" s="467" t="s">
        <v>402</v>
      </c>
      <c r="G56" s="470">
        <v>44921</v>
      </c>
      <c r="H56" s="468">
        <v>44.03</v>
      </c>
      <c r="I56" s="467" t="s">
        <v>402</v>
      </c>
      <c r="J56" s="470">
        <v>44921</v>
      </c>
      <c r="K56" s="469">
        <v>44.03</v>
      </c>
      <c r="L56" s="467" t="s">
        <v>470</v>
      </c>
    </row>
    <row r="57" spans="1:12" x14ac:dyDescent="0.2">
      <c r="A57" s="467" t="s">
        <v>477</v>
      </c>
      <c r="B57" s="468">
        <v>15.82</v>
      </c>
      <c r="C57" s="467" t="s">
        <v>403</v>
      </c>
      <c r="D57" s="470">
        <v>44915</v>
      </c>
      <c r="E57" s="468">
        <v>49.5</v>
      </c>
      <c r="F57" s="467" t="s">
        <v>403</v>
      </c>
      <c r="G57" s="470">
        <v>44915</v>
      </c>
      <c r="H57" s="468">
        <v>30.98</v>
      </c>
      <c r="I57" s="467" t="s">
        <v>430</v>
      </c>
      <c r="J57" s="470">
        <v>44915</v>
      </c>
      <c r="K57" s="469">
        <v>30.98</v>
      </c>
      <c r="L57" s="467" t="s">
        <v>478</v>
      </c>
    </row>
    <row r="58" spans="1:12" ht="22.5" x14ac:dyDescent="0.2">
      <c r="A58" s="467" t="s">
        <v>479</v>
      </c>
      <c r="B58" s="468">
        <v>386.87</v>
      </c>
      <c r="C58" s="467" t="s">
        <v>403</v>
      </c>
      <c r="D58" s="470">
        <v>45164</v>
      </c>
      <c r="E58" s="468">
        <v>450</v>
      </c>
      <c r="F58" s="467" t="s">
        <v>403</v>
      </c>
      <c r="G58" s="470">
        <v>45164</v>
      </c>
      <c r="H58" s="468">
        <v>326.64999999999998</v>
      </c>
      <c r="I58" s="467" t="s">
        <v>403</v>
      </c>
      <c r="J58" s="470">
        <v>45164</v>
      </c>
      <c r="K58" s="514">
        <v>386.67</v>
      </c>
      <c r="L58" s="467" t="s">
        <v>480</v>
      </c>
    </row>
    <row r="59" spans="1:12" ht="22.5" x14ac:dyDescent="0.2">
      <c r="A59" s="467" t="s">
        <v>481</v>
      </c>
      <c r="B59" s="468">
        <v>313.20999999999998</v>
      </c>
      <c r="C59" s="467" t="s">
        <v>403</v>
      </c>
      <c r="D59" s="470">
        <v>44915</v>
      </c>
      <c r="E59" s="468">
        <v>369.9</v>
      </c>
      <c r="F59" s="467" t="s">
        <v>403</v>
      </c>
      <c r="G59" s="470">
        <v>44915</v>
      </c>
      <c r="H59" s="468">
        <v>157.4</v>
      </c>
      <c r="I59" s="467" t="s">
        <v>402</v>
      </c>
      <c r="J59" s="470">
        <v>44915</v>
      </c>
      <c r="K59" s="469">
        <v>313.20999999999998</v>
      </c>
      <c r="L59" s="467" t="s">
        <v>480</v>
      </c>
    </row>
    <row r="60" spans="1:12" x14ac:dyDescent="0.2">
      <c r="A60" s="467"/>
      <c r="B60" s="468"/>
      <c r="C60" s="467"/>
      <c r="D60" s="470"/>
      <c r="E60" s="468"/>
      <c r="F60" s="467"/>
      <c r="G60" s="470"/>
      <c r="H60" s="468"/>
      <c r="I60" s="467"/>
      <c r="J60" s="470"/>
      <c r="K60" s="469"/>
      <c r="L60" s="467"/>
    </row>
    <row r="61" spans="1:12" x14ac:dyDescent="0.2">
      <c r="A61" s="467" t="s">
        <v>482</v>
      </c>
      <c r="B61" s="468"/>
      <c r="C61" s="467"/>
      <c r="D61" s="470"/>
      <c r="E61" s="468"/>
      <c r="F61" s="467"/>
      <c r="G61" s="470"/>
      <c r="H61" s="468"/>
      <c r="I61" s="467"/>
      <c r="J61" s="470"/>
      <c r="K61" s="469"/>
      <c r="L61" s="467"/>
    </row>
    <row r="62" spans="1:12" ht="33.75" x14ac:dyDescent="0.2">
      <c r="A62" s="467" t="s">
        <v>511</v>
      </c>
      <c r="B62" s="468">
        <v>2.1</v>
      </c>
      <c r="C62" s="467" t="s">
        <v>483</v>
      </c>
      <c r="D62" s="470">
        <v>44607</v>
      </c>
      <c r="E62" s="468">
        <v>1.5</v>
      </c>
      <c r="F62" s="467" t="s">
        <v>484</v>
      </c>
      <c r="G62" s="470">
        <v>44643</v>
      </c>
      <c r="H62" s="468">
        <v>3.5</v>
      </c>
      <c r="I62" s="467" t="s">
        <v>435</v>
      </c>
      <c r="J62" s="470">
        <v>44796</v>
      </c>
      <c r="K62" s="469" t="s">
        <v>485</v>
      </c>
      <c r="L62" s="467"/>
    </row>
    <row r="63" spans="1:12" ht="33.75" x14ac:dyDescent="0.2">
      <c r="A63" s="467" t="s">
        <v>512</v>
      </c>
      <c r="B63" s="468">
        <v>4.1100000000000003</v>
      </c>
      <c r="C63" s="467" t="s">
        <v>483</v>
      </c>
      <c r="D63" s="470">
        <v>44607</v>
      </c>
      <c r="E63" s="468">
        <v>2</v>
      </c>
      <c r="F63" s="467" t="s">
        <v>484</v>
      </c>
      <c r="G63" s="470">
        <v>44643</v>
      </c>
      <c r="H63" s="468">
        <v>2</v>
      </c>
      <c r="I63" s="467" t="s">
        <v>435</v>
      </c>
      <c r="J63" s="470">
        <v>44796</v>
      </c>
      <c r="K63" s="469" t="s">
        <v>486</v>
      </c>
      <c r="L63" s="467" t="s">
        <v>487</v>
      </c>
    </row>
    <row r="64" spans="1:12" ht="33.75" x14ac:dyDescent="0.2">
      <c r="A64" s="467" t="s">
        <v>513</v>
      </c>
      <c r="B64" s="468">
        <v>2.91</v>
      </c>
      <c r="C64" s="467" t="s">
        <v>483</v>
      </c>
      <c r="D64" s="470">
        <v>44607</v>
      </c>
      <c r="E64" s="468">
        <v>0.32</v>
      </c>
      <c r="F64" s="467" t="s">
        <v>484</v>
      </c>
      <c r="G64" s="470">
        <v>44643</v>
      </c>
      <c r="H64" s="468">
        <v>0.66</v>
      </c>
      <c r="I64" s="467" t="s">
        <v>435</v>
      </c>
      <c r="J64" s="470">
        <v>44796</v>
      </c>
      <c r="K64" s="469" t="s">
        <v>488</v>
      </c>
      <c r="L64" s="467" t="s">
        <v>489</v>
      </c>
    </row>
    <row r="65" spans="1:12" ht="33.75" x14ac:dyDescent="0.2">
      <c r="A65" s="467" t="s">
        <v>514</v>
      </c>
      <c r="B65" s="468">
        <v>8.18</v>
      </c>
      <c r="C65" s="467" t="s">
        <v>483</v>
      </c>
      <c r="D65" s="470">
        <v>44607</v>
      </c>
      <c r="E65" s="468">
        <v>3.48</v>
      </c>
      <c r="F65" s="467" t="s">
        <v>484</v>
      </c>
      <c r="G65" s="470">
        <v>44643</v>
      </c>
      <c r="H65" s="468">
        <v>0.8</v>
      </c>
      <c r="I65" s="467" t="s">
        <v>435</v>
      </c>
      <c r="J65" s="470">
        <v>44796</v>
      </c>
      <c r="K65" s="469" t="s">
        <v>490</v>
      </c>
      <c r="L65" s="467" t="s">
        <v>491</v>
      </c>
    </row>
    <row r="66" spans="1:12" ht="33.75" x14ac:dyDescent="0.2">
      <c r="A66" s="467" t="s">
        <v>515</v>
      </c>
      <c r="B66" s="468">
        <v>1</v>
      </c>
      <c r="C66" s="467" t="s">
        <v>436</v>
      </c>
      <c r="D66" s="470">
        <v>44692</v>
      </c>
      <c r="E66" s="468">
        <v>1</v>
      </c>
      <c r="F66" s="467" t="s">
        <v>484</v>
      </c>
      <c r="G66" s="470">
        <v>44643</v>
      </c>
      <c r="H66" s="468">
        <v>0.66</v>
      </c>
      <c r="I66" s="467" t="s">
        <v>435</v>
      </c>
      <c r="J66" s="470">
        <v>44796</v>
      </c>
      <c r="K66" s="469" t="s">
        <v>492</v>
      </c>
      <c r="L66" s="467" t="s">
        <v>493</v>
      </c>
    </row>
    <row r="67" spans="1:12" ht="33.75" x14ac:dyDescent="0.2">
      <c r="A67" s="467" t="s">
        <v>494</v>
      </c>
      <c r="B67" s="468">
        <v>3500</v>
      </c>
      <c r="C67" s="467" t="s">
        <v>436</v>
      </c>
      <c r="D67" s="470">
        <v>44692</v>
      </c>
      <c r="E67" s="468">
        <v>3457</v>
      </c>
      <c r="F67" s="467" t="s">
        <v>484</v>
      </c>
      <c r="G67" s="470">
        <v>44643</v>
      </c>
      <c r="H67" s="468">
        <v>2000</v>
      </c>
      <c r="I67" s="467" t="s">
        <v>435</v>
      </c>
      <c r="J67" s="470">
        <v>44796</v>
      </c>
      <c r="K67" s="514">
        <v>3457</v>
      </c>
      <c r="L67" s="467" t="s">
        <v>495</v>
      </c>
    </row>
    <row r="68" spans="1:12" ht="33.75" x14ac:dyDescent="0.2">
      <c r="A68" s="467" t="s">
        <v>496</v>
      </c>
      <c r="B68" s="468">
        <v>344.5</v>
      </c>
      <c r="C68" s="467" t="s">
        <v>434</v>
      </c>
      <c r="D68" s="470">
        <v>44607</v>
      </c>
      <c r="E68" s="468">
        <v>300</v>
      </c>
      <c r="F68" s="467" t="s">
        <v>484</v>
      </c>
      <c r="G68" s="470">
        <v>44643</v>
      </c>
      <c r="H68" s="468">
        <v>84.67</v>
      </c>
      <c r="I68" s="467" t="s">
        <v>483</v>
      </c>
      <c r="J68" s="470">
        <v>44607</v>
      </c>
      <c r="K68" s="469">
        <v>300</v>
      </c>
      <c r="L68" s="467" t="s">
        <v>497</v>
      </c>
    </row>
    <row r="69" spans="1:12" ht="45" x14ac:dyDescent="0.2">
      <c r="A69" s="467" t="s">
        <v>498</v>
      </c>
      <c r="B69" s="468">
        <v>57.45</v>
      </c>
      <c r="C69" s="467" t="s">
        <v>434</v>
      </c>
      <c r="D69" s="470">
        <v>44607</v>
      </c>
      <c r="E69" s="468">
        <v>100</v>
      </c>
      <c r="F69" s="467" t="s">
        <v>484</v>
      </c>
      <c r="G69" s="470">
        <v>44643</v>
      </c>
      <c r="H69" s="468">
        <v>84.67</v>
      </c>
      <c r="I69" s="467" t="s">
        <v>483</v>
      </c>
      <c r="J69" s="470">
        <v>44607</v>
      </c>
      <c r="K69" s="469">
        <v>84.67</v>
      </c>
      <c r="L69" s="467" t="s">
        <v>499</v>
      </c>
    </row>
    <row r="70" spans="1:12" ht="33.75" x14ac:dyDescent="0.2">
      <c r="A70" s="467" t="s">
        <v>599</v>
      </c>
      <c r="B70" s="468">
        <v>0.85</v>
      </c>
      <c r="C70" s="467" t="s">
        <v>434</v>
      </c>
      <c r="D70" s="470">
        <v>44607</v>
      </c>
      <c r="E70" s="468">
        <v>0.85</v>
      </c>
      <c r="F70" s="467" t="s">
        <v>484</v>
      </c>
      <c r="G70" s="470">
        <v>44643</v>
      </c>
      <c r="H70" s="468">
        <v>0.86</v>
      </c>
      <c r="I70" s="467" t="s">
        <v>483</v>
      </c>
      <c r="J70" s="470">
        <v>44607</v>
      </c>
      <c r="K70" s="514" t="s">
        <v>597</v>
      </c>
      <c r="L70" s="467" t="s">
        <v>500</v>
      </c>
    </row>
    <row r="71" spans="1:12" ht="33.75" x14ac:dyDescent="0.2">
      <c r="A71" s="467" t="s">
        <v>501</v>
      </c>
      <c r="B71" s="468">
        <v>571</v>
      </c>
      <c r="C71" s="467" t="s">
        <v>434</v>
      </c>
      <c r="D71" s="470">
        <v>44607</v>
      </c>
      <c r="E71" s="468">
        <v>746</v>
      </c>
      <c r="F71" s="467" t="s">
        <v>484</v>
      </c>
      <c r="G71" s="470">
        <v>44643</v>
      </c>
      <c r="H71" s="468">
        <v>523.87</v>
      </c>
      <c r="I71" s="467" t="s">
        <v>483</v>
      </c>
      <c r="J71" s="470">
        <v>44607</v>
      </c>
      <c r="K71" s="514" t="s">
        <v>598</v>
      </c>
      <c r="L71" s="467" t="s">
        <v>502</v>
      </c>
    </row>
    <row r="72" spans="1:12" ht="18.75" customHeight="1" x14ac:dyDescent="0.2">
      <c r="A72" s="467"/>
      <c r="B72" s="468"/>
      <c r="C72" s="467"/>
      <c r="D72" s="470"/>
      <c r="E72" s="468"/>
      <c r="F72" s="467"/>
      <c r="G72" s="470"/>
      <c r="H72" s="468"/>
      <c r="I72" s="467"/>
      <c r="J72" s="470"/>
      <c r="K72" s="469"/>
      <c r="L72" s="467"/>
    </row>
    <row r="73" spans="1:12" ht="22.5" x14ac:dyDescent="0.2">
      <c r="A73" s="467" t="s">
        <v>503</v>
      </c>
      <c r="B73" s="468"/>
      <c r="C73" s="467"/>
      <c r="D73" s="470"/>
      <c r="E73" s="468"/>
      <c r="F73" s="467"/>
      <c r="G73" s="470"/>
      <c r="H73" s="468"/>
      <c r="I73" s="467"/>
      <c r="J73" s="470"/>
      <c r="K73" s="469"/>
      <c r="L73" s="467"/>
    </row>
    <row r="74" spans="1:12" ht="22.5" x14ac:dyDescent="0.2">
      <c r="A74" s="467" t="s">
        <v>504</v>
      </c>
      <c r="B74" s="468">
        <v>20000</v>
      </c>
      <c r="C74" s="467" t="s">
        <v>505</v>
      </c>
      <c r="D74" s="470">
        <v>44921</v>
      </c>
      <c r="E74" s="468">
        <v>6000</v>
      </c>
      <c r="F74" s="467" t="s">
        <v>506</v>
      </c>
      <c r="G74" s="470">
        <v>44922</v>
      </c>
      <c r="H74" s="468">
        <v>40000</v>
      </c>
      <c r="I74" s="467" t="s">
        <v>505</v>
      </c>
      <c r="J74" s="470">
        <v>44921</v>
      </c>
      <c r="K74" s="469">
        <v>20000</v>
      </c>
      <c r="L74" s="467"/>
    </row>
    <row r="75" spans="1:12" ht="45" x14ac:dyDescent="0.2">
      <c r="A75" s="467" t="s">
        <v>544</v>
      </c>
      <c r="B75" s="468">
        <v>1950</v>
      </c>
      <c r="C75" s="467" t="s">
        <v>545</v>
      </c>
      <c r="D75" s="470">
        <v>44924</v>
      </c>
      <c r="E75" s="468">
        <v>2850</v>
      </c>
      <c r="F75" s="467" t="s">
        <v>546</v>
      </c>
      <c r="G75" s="470">
        <v>44924</v>
      </c>
      <c r="H75" s="468">
        <v>1380</v>
      </c>
      <c r="I75" s="467" t="s">
        <v>546</v>
      </c>
      <c r="J75" s="470">
        <v>44924</v>
      </c>
      <c r="K75" s="469">
        <v>1950</v>
      </c>
      <c r="L75" s="467" t="s">
        <v>547</v>
      </c>
    </row>
    <row r="76" spans="1:12" x14ac:dyDescent="0.2">
      <c r="A76" s="497"/>
      <c r="B76" s="498"/>
      <c r="C76" s="497"/>
      <c r="D76" s="497"/>
      <c r="E76" s="498"/>
      <c r="F76" s="497"/>
      <c r="G76" s="499"/>
      <c r="H76" s="498"/>
      <c r="I76" s="497"/>
      <c r="J76" s="497"/>
      <c r="K76" s="500"/>
      <c r="L76" s="497"/>
    </row>
  </sheetData>
  <mergeCells count="1">
    <mergeCell ref="A1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WhiteSpace="0" view="pageBreakPreview" topLeftCell="A46" zoomScale="90" zoomScaleNormal="150" zoomScaleSheetLayoutView="90" workbookViewId="0">
      <selection activeCell="L84" sqref="L84"/>
    </sheetView>
  </sheetViews>
  <sheetFormatPr defaultColWidth="14.7109375" defaultRowHeight="12.75" x14ac:dyDescent="0.2"/>
  <cols>
    <col min="1" max="1" width="16.140625" customWidth="1"/>
  </cols>
  <sheetData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4337" r:id="rId4">
          <objectPr defaultSize="0" autoPict="0" r:id="rId5">
            <anchor moveWithCells="1">
              <from>
                <xdr:col>0</xdr:col>
                <xdr:colOff>76200</xdr:colOff>
                <xdr:row>23</xdr:row>
                <xdr:rowOff>19050</xdr:rowOff>
              </from>
              <to>
                <xdr:col>10</xdr:col>
                <xdr:colOff>352425</xdr:colOff>
                <xdr:row>81</xdr:row>
                <xdr:rowOff>123825</xdr:rowOff>
              </to>
            </anchor>
          </objectPr>
        </oleObject>
      </mc:Choice>
      <mc:Fallback>
        <oleObject progId="Word.Document.8" shapeId="143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5</vt:i4>
      </vt:variant>
    </vt:vector>
  </HeadingPairs>
  <TitlesOfParts>
    <vt:vector size="16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Tabela De Preços Estimados</vt:lpstr>
      <vt:lpstr>MEMÓRIA DE CÁLCULO E DADOS</vt:lpstr>
      <vt:lpstr>Planilha1</vt:lpstr>
      <vt:lpstr>Plan1</vt:lpstr>
      <vt:lpstr>AbaDeprec</vt:lpstr>
      <vt:lpstr>AbaRemun</vt:lpstr>
      <vt:lpstr>'1. Coleta Domiciliar'!Area_de_impressao</vt:lpstr>
      <vt:lpstr>'2.Encargos Sociais'!Area_de_impressao</vt:lpstr>
      <vt:lpstr>'1. Coleta Domiciliar'!Titulos_de_impressao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CLAUDIO CAMILO DA SILVA</cp:lastModifiedBy>
  <cp:lastPrinted>2023-09-25T18:13:41Z</cp:lastPrinted>
  <dcterms:created xsi:type="dcterms:W3CDTF">2000-12-13T10:02:50Z</dcterms:created>
  <dcterms:modified xsi:type="dcterms:W3CDTF">2024-01-28T01:00:59Z</dcterms:modified>
</cp:coreProperties>
</file>