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3c96ce2504b0d7/Área de Trabalho/@TRÁFEGO/@TRANSPORTE COLETIVO/@LICITAÇÃO DO TRANSPORTE PÚBLICO/@LICITAÇÃO 2024/"/>
    </mc:Choice>
  </mc:AlternateContent>
  <xr:revisionPtr revIDLastSave="58" documentId="11_D6A30D4147B2A618D43EDB34547746C4BA3F8803" xr6:coauthVersionLast="47" xr6:coauthVersionMax="47" xr10:uidLastSave="{21C18FAB-55BC-45CC-8CB8-610DBF77031C}"/>
  <bookViews>
    <workbookView xWindow="-120" yWindow="-120" windowWidth="29040" windowHeight="15720" tabRatio="783" firstSheet="3" activeTab="7" xr2:uid="{00000000-000D-0000-FFFF-FFFF00000000}"/>
  </bookViews>
  <sheets>
    <sheet name="KM PROGRAMADA" sheetId="23" r:id="rId1"/>
    <sheet name="PASSAGEIROS" sheetId="13" r:id="rId2"/>
    <sheet name="FATOR DE UTILIZAÇÃO" sheetId="22" r:id="rId3"/>
    <sheet name="CÁLCULO CONSUMO" sheetId="18" r:id="rId4"/>
    <sheet name="PREÇO DO DIESEL" sheetId="20" r:id="rId5"/>
    <sheet name="SALÁRIOS" sheetId="17" r:id="rId6"/>
    <sheet name="CUSTO VARIÁVEL" sheetId="5" r:id="rId7"/>
    <sheet name="CUSTO FIXO" sheetId="3" r:id="rId8"/>
    <sheet name="REMUN. PREST. DOS SERVIÇOS" sheetId="11" r:id="rId9"/>
    <sheet name="TRIBUTAÇÃO" sheetId="12" r:id="rId10"/>
    <sheet name="TARIFA" sheetId="6" r:id="rId11"/>
    <sheet name="RESUMO" sheetId="14" r:id="rId12"/>
  </sheets>
  <definedNames>
    <definedName name="_xlnm.Print_Area" localSheetId="3">'CÁLCULO CONSUMO'!#REF!</definedName>
    <definedName name="_xlnm.Print_Area" localSheetId="7">'CUSTO FIXO'!$A$1:$L$179</definedName>
    <definedName name="_xlnm.Print_Area" localSheetId="6">'CUSTO VARIÁVEL'!$A$1:$L$71</definedName>
    <definedName name="_xlnm.Print_Area" localSheetId="2">'FATOR DE UTILIZAÇÃO'!$A$1:$AB$79</definedName>
    <definedName name="_xlnm.Print_Area" localSheetId="0">'KM PROGRAMADA'!$B$1:$N$107</definedName>
    <definedName name="_xlnm.Print_Area" localSheetId="1">PASSAGEIROS!$A$1:$W$60</definedName>
    <definedName name="_xlnm.Print_Area" localSheetId="4">'PREÇO DO DIESEL'!$B$1:$E$23</definedName>
    <definedName name="_xlnm.Print_Area" localSheetId="8">'REMUN. PREST. DOS SERVIÇOS'!$A$1:$M$5</definedName>
    <definedName name="_xlnm.Print_Area" localSheetId="11">RESUMO!$A$1:$J$89</definedName>
    <definedName name="_xlnm.Print_Area" localSheetId="5">SALÁRIOS!$A$1:$C$13</definedName>
    <definedName name="_xlnm.Print_Area" localSheetId="10">TARIFA!$A$1:$L$12</definedName>
    <definedName name="_xlnm.Print_Area" localSheetId="9">TRIBUTAÇÃO!$A$1:$L$7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1" l="1"/>
  <c r="J4" i="12" s="1"/>
  <c r="Z53" i="13"/>
  <c r="Z44" i="13"/>
  <c r="I56" i="13" l="1"/>
  <c r="Q49" i="13"/>
  <c r="Z12" i="13"/>
  <c r="Z17" i="13"/>
  <c r="Z22" i="13"/>
  <c r="Z32" i="13"/>
  <c r="Z37" i="13"/>
  <c r="Z42" i="13"/>
  <c r="I5" i="23" l="1"/>
  <c r="J120" i="3"/>
  <c r="J94" i="3" l="1"/>
  <c r="I38" i="14" s="1"/>
  <c r="P93" i="14" s="1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J100" i="3"/>
  <c r="J85" i="3"/>
  <c r="J74" i="3"/>
  <c r="J122" i="3" l="1"/>
  <c r="D483" i="18"/>
  <c r="D482" i="18"/>
  <c r="D481" i="18"/>
  <c r="D480" i="18"/>
  <c r="D479" i="18"/>
  <c r="D478" i="18"/>
  <c r="D477" i="18"/>
  <c r="D476" i="18"/>
  <c r="D475" i="18"/>
  <c r="D474" i="18"/>
  <c r="D473" i="18"/>
  <c r="D472" i="18"/>
  <c r="D471" i="18"/>
  <c r="D470" i="18"/>
  <c r="D469" i="18"/>
  <c r="D468" i="18"/>
  <c r="D467" i="18"/>
  <c r="D466" i="18"/>
  <c r="D465" i="18"/>
  <c r="D464" i="18"/>
  <c r="D463" i="18"/>
  <c r="D462" i="18"/>
  <c r="D461" i="18"/>
  <c r="D460" i="18"/>
  <c r="D459" i="18"/>
  <c r="D458" i="18"/>
  <c r="D457" i="18"/>
  <c r="D456" i="18"/>
  <c r="D455" i="18"/>
  <c r="D454" i="18"/>
  <c r="D453" i="18"/>
  <c r="D452" i="18"/>
  <c r="D484" i="18" l="1"/>
  <c r="D485" i="18" s="1"/>
  <c r="D486" i="18" s="1"/>
  <c r="D445" i="18"/>
  <c r="D444" i="18"/>
  <c r="D443" i="18"/>
  <c r="D442" i="18"/>
  <c r="D441" i="18"/>
  <c r="D440" i="18"/>
  <c r="D439" i="18"/>
  <c r="D438" i="18"/>
  <c r="D437" i="18"/>
  <c r="D436" i="18"/>
  <c r="D435" i="18"/>
  <c r="D434" i="18"/>
  <c r="D433" i="18"/>
  <c r="D432" i="18"/>
  <c r="D431" i="18"/>
  <c r="D430" i="18"/>
  <c r="D429" i="18"/>
  <c r="D428" i="18"/>
  <c r="D427" i="18"/>
  <c r="D426" i="18"/>
  <c r="D425" i="18"/>
  <c r="D424" i="18"/>
  <c r="D423" i="18"/>
  <c r="D422" i="18"/>
  <c r="D421" i="18"/>
  <c r="D420" i="18"/>
  <c r="D419" i="18"/>
  <c r="D418" i="18"/>
  <c r="D417" i="18"/>
  <c r="D416" i="18"/>
  <c r="D415" i="18"/>
  <c r="D414" i="18"/>
  <c r="D446" i="18" l="1"/>
  <c r="D447" i="18" s="1"/>
  <c r="D448" i="18" s="1"/>
  <c r="D407" i="18"/>
  <c r="D406" i="18"/>
  <c r="D405" i="18"/>
  <c r="D404" i="18"/>
  <c r="D403" i="18"/>
  <c r="D402" i="18"/>
  <c r="D401" i="18"/>
  <c r="D400" i="18"/>
  <c r="D399" i="18"/>
  <c r="D398" i="18"/>
  <c r="D397" i="18"/>
  <c r="D396" i="18"/>
  <c r="D395" i="18"/>
  <c r="D394" i="18"/>
  <c r="D393" i="18"/>
  <c r="D392" i="18"/>
  <c r="D391" i="18"/>
  <c r="D390" i="18"/>
  <c r="D389" i="18"/>
  <c r="D388" i="18"/>
  <c r="D387" i="18"/>
  <c r="D386" i="18"/>
  <c r="D385" i="18"/>
  <c r="D384" i="18"/>
  <c r="D383" i="18"/>
  <c r="D382" i="18"/>
  <c r="D381" i="18"/>
  <c r="D380" i="18"/>
  <c r="D379" i="18"/>
  <c r="D378" i="18"/>
  <c r="D377" i="18"/>
  <c r="D376" i="18"/>
  <c r="D375" i="18"/>
  <c r="D374" i="18"/>
  <c r="D408" i="18" l="1"/>
  <c r="D409" i="18" s="1"/>
  <c r="D410" i="18" s="1"/>
  <c r="D367" i="18"/>
  <c r="D366" i="18"/>
  <c r="D365" i="18"/>
  <c r="D364" i="18"/>
  <c r="D363" i="18"/>
  <c r="D362" i="18"/>
  <c r="D361" i="18"/>
  <c r="D360" i="18"/>
  <c r="D359" i="18"/>
  <c r="D358" i="18"/>
  <c r="D357" i="18"/>
  <c r="D356" i="18"/>
  <c r="D355" i="18"/>
  <c r="D354" i="18"/>
  <c r="D353" i="18"/>
  <c r="D352" i="18"/>
  <c r="D351" i="18"/>
  <c r="D350" i="18"/>
  <c r="D349" i="18"/>
  <c r="D348" i="18"/>
  <c r="D347" i="18"/>
  <c r="D346" i="18"/>
  <c r="D345" i="18"/>
  <c r="D344" i="18"/>
  <c r="D343" i="18"/>
  <c r="D342" i="18"/>
  <c r="D341" i="18"/>
  <c r="D340" i="18"/>
  <c r="D339" i="18"/>
  <c r="D338" i="18"/>
  <c r="D337" i="18"/>
  <c r="D336" i="18"/>
  <c r="D335" i="18"/>
  <c r="D334" i="18"/>
  <c r="D368" i="18" l="1"/>
  <c r="D369" i="18" s="1"/>
  <c r="D370" i="18" s="1"/>
  <c r="D327" i="18" l="1"/>
  <c r="D326" i="18"/>
  <c r="D325" i="18"/>
  <c r="D324" i="18"/>
  <c r="D323" i="18"/>
  <c r="D322" i="18"/>
  <c r="D321" i="18"/>
  <c r="D320" i="18"/>
  <c r="D319" i="18"/>
  <c r="D318" i="18"/>
  <c r="D317" i="18"/>
  <c r="D316" i="18"/>
  <c r="D315" i="18"/>
  <c r="D314" i="18"/>
  <c r="D313" i="18"/>
  <c r="D312" i="18"/>
  <c r="D311" i="18"/>
  <c r="D310" i="18"/>
  <c r="D309" i="18"/>
  <c r="D308" i="18"/>
  <c r="D307" i="18"/>
  <c r="D306" i="18"/>
  <c r="D305" i="18"/>
  <c r="D304" i="18"/>
  <c r="D303" i="18"/>
  <c r="D302" i="18"/>
  <c r="D301" i="18"/>
  <c r="D300" i="18"/>
  <c r="D299" i="18"/>
  <c r="D298" i="18"/>
  <c r="D297" i="18"/>
  <c r="D296" i="18"/>
  <c r="D295" i="18"/>
  <c r="D294" i="18"/>
  <c r="D293" i="18"/>
  <c r="D328" i="18" l="1"/>
  <c r="D329" i="18" s="1"/>
  <c r="D330" i="18" s="1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8" i="18"/>
  <c r="D257" i="18"/>
  <c r="D256" i="18"/>
  <c r="D255" i="18"/>
  <c r="D254" i="18"/>
  <c r="D253" i="18"/>
  <c r="D252" i="18"/>
  <c r="D251" i="18"/>
  <c r="D250" i="18"/>
  <c r="D287" i="18" l="1"/>
  <c r="D288" i="18" s="1"/>
  <c r="D289" i="18" s="1"/>
  <c r="D243" i="18" l="1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44" i="18" l="1"/>
  <c r="D245" i="18" s="1"/>
  <c r="D246" i="18" s="1"/>
  <c r="C200" i="18" l="1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201" i="18" l="1"/>
  <c r="C202" i="18" s="1"/>
  <c r="C203" i="18" s="1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60" i="18" l="1"/>
  <c r="C161" i="18" s="1"/>
  <c r="C162" i="18" s="1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120" i="18" l="1"/>
  <c r="C121" i="18" s="1"/>
  <c r="D122" i="18" s="1"/>
  <c r="C79" i="18" l="1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E59" i="18"/>
  <c r="D59" i="18"/>
  <c r="C58" i="18"/>
  <c r="C57" i="18"/>
  <c r="C56" i="18"/>
  <c r="C55" i="18"/>
  <c r="C54" i="18"/>
  <c r="C53" i="18"/>
  <c r="C52" i="18"/>
  <c r="C51" i="18"/>
  <c r="C50" i="18"/>
  <c r="C49" i="18"/>
  <c r="C48" i="18"/>
  <c r="C59" i="18" l="1"/>
  <c r="C80" i="18" s="1"/>
  <c r="C81" i="18" s="1"/>
  <c r="D82" i="18" s="1"/>
  <c r="C41" i="18" l="1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42" i="18" l="1"/>
  <c r="C43" i="18" s="1"/>
  <c r="C44" i="18" s="1"/>
  <c r="F1" i="18" s="1"/>
  <c r="J2" i="5" s="1"/>
  <c r="J23" i="5" s="1"/>
  <c r="I10" i="14" l="1"/>
  <c r="Q40" i="13"/>
  <c r="Z41" i="13" s="1"/>
  <c r="Q30" i="13"/>
  <c r="Z31" i="13" s="1"/>
  <c r="Q35" i="13"/>
  <c r="Z36" i="13" s="1"/>
  <c r="Q26" i="13"/>
  <c r="Z27" i="13" s="1"/>
  <c r="Q25" i="13"/>
  <c r="Z26" i="13" s="1"/>
  <c r="Q20" i="13"/>
  <c r="Z21" i="13" s="1"/>
  <c r="Q15" i="13"/>
  <c r="Z16" i="13" s="1"/>
  <c r="Q10" i="13"/>
  <c r="Z11" i="13" s="1"/>
  <c r="U25" i="13" l="1"/>
  <c r="J163" i="3"/>
  <c r="Q6" i="13" l="1"/>
  <c r="Z6" i="13" s="1"/>
  <c r="Q5" i="13"/>
  <c r="Z5" i="13" s="1"/>
  <c r="Q47" i="13"/>
  <c r="Q46" i="13"/>
  <c r="Q45" i="13"/>
  <c r="X31" i="22"/>
  <c r="AJ5" i="22"/>
  <c r="AH5" i="22"/>
  <c r="X29" i="22" s="1"/>
  <c r="E92" i="23"/>
  <c r="G92" i="23"/>
  <c r="I92" i="23"/>
  <c r="K92" i="23"/>
  <c r="M92" i="23"/>
  <c r="C92" i="23"/>
  <c r="H75" i="23"/>
  <c r="G75" i="23"/>
  <c r="F75" i="23"/>
  <c r="M74" i="23"/>
  <c r="K74" i="23"/>
  <c r="I74" i="23"/>
  <c r="M73" i="23"/>
  <c r="K73" i="23"/>
  <c r="I73" i="23"/>
  <c r="M72" i="23"/>
  <c r="K72" i="23"/>
  <c r="I72" i="23"/>
  <c r="M71" i="23"/>
  <c r="K71" i="23"/>
  <c r="I71" i="23"/>
  <c r="M70" i="23"/>
  <c r="K70" i="23"/>
  <c r="I70" i="23"/>
  <c r="M69" i="23"/>
  <c r="K69" i="23"/>
  <c r="I69" i="23"/>
  <c r="M68" i="23"/>
  <c r="K68" i="23"/>
  <c r="I68" i="23"/>
  <c r="M67" i="23"/>
  <c r="K67" i="23"/>
  <c r="I67" i="23"/>
  <c r="M66" i="23"/>
  <c r="K66" i="23"/>
  <c r="I66" i="23"/>
  <c r="M65" i="23"/>
  <c r="K65" i="23"/>
  <c r="I65" i="23"/>
  <c r="M64" i="23"/>
  <c r="K64" i="23"/>
  <c r="I64" i="23"/>
  <c r="M63" i="23"/>
  <c r="K63" i="23"/>
  <c r="I63" i="23"/>
  <c r="M62" i="23"/>
  <c r="K62" i="23"/>
  <c r="I62" i="23"/>
  <c r="M61" i="23"/>
  <c r="K61" i="23"/>
  <c r="I61" i="23"/>
  <c r="M60" i="23"/>
  <c r="K60" i="23"/>
  <c r="I60" i="23"/>
  <c r="M59" i="23"/>
  <c r="K59" i="23"/>
  <c r="I59" i="23"/>
  <c r="M58" i="23"/>
  <c r="K58" i="23"/>
  <c r="I58" i="23"/>
  <c r="M57" i="23"/>
  <c r="K57" i="23"/>
  <c r="I57" i="23"/>
  <c r="M56" i="23"/>
  <c r="K56" i="23"/>
  <c r="I56" i="23"/>
  <c r="M55" i="23"/>
  <c r="K55" i="23"/>
  <c r="I55" i="23"/>
  <c r="M54" i="23"/>
  <c r="K54" i="23"/>
  <c r="I54" i="23"/>
  <c r="M53" i="23"/>
  <c r="K53" i="23"/>
  <c r="I53" i="23"/>
  <c r="M52" i="23"/>
  <c r="K52" i="23"/>
  <c r="I52" i="23"/>
  <c r="M51" i="23"/>
  <c r="K51" i="23"/>
  <c r="I51" i="23"/>
  <c r="M50" i="23"/>
  <c r="K50" i="23"/>
  <c r="I50" i="23"/>
  <c r="M49" i="23"/>
  <c r="K49" i="23"/>
  <c r="I49" i="23"/>
  <c r="M48" i="23"/>
  <c r="K48" i="23"/>
  <c r="I48" i="23"/>
  <c r="M47" i="23"/>
  <c r="K47" i="23"/>
  <c r="I47" i="23"/>
  <c r="M46" i="23"/>
  <c r="K46" i="23"/>
  <c r="I46" i="23"/>
  <c r="M45" i="23"/>
  <c r="K45" i="23"/>
  <c r="I45" i="23"/>
  <c r="M44" i="23"/>
  <c r="K44" i="23"/>
  <c r="I44" i="23"/>
  <c r="M43" i="23"/>
  <c r="K43" i="23"/>
  <c r="I43" i="23"/>
  <c r="H37" i="23"/>
  <c r="G37" i="23"/>
  <c r="F37" i="23"/>
  <c r="M36" i="23"/>
  <c r="K36" i="23"/>
  <c r="I36" i="23"/>
  <c r="M33" i="23"/>
  <c r="M34" i="23"/>
  <c r="K33" i="23"/>
  <c r="K34" i="23"/>
  <c r="I33" i="23"/>
  <c r="I34" i="23"/>
  <c r="M29" i="23"/>
  <c r="K29" i="23"/>
  <c r="I29" i="23"/>
  <c r="M27" i="23"/>
  <c r="K27" i="23"/>
  <c r="I27" i="23"/>
  <c r="M24" i="23"/>
  <c r="K24" i="23"/>
  <c r="I24" i="23"/>
  <c r="M21" i="23"/>
  <c r="K21" i="23"/>
  <c r="I21" i="23"/>
  <c r="M19" i="23"/>
  <c r="K19" i="23"/>
  <c r="I19" i="23"/>
  <c r="M17" i="23"/>
  <c r="K17" i="23"/>
  <c r="I17" i="23"/>
  <c r="M14" i="23"/>
  <c r="K14" i="23"/>
  <c r="I14" i="23"/>
  <c r="M12" i="23"/>
  <c r="K12" i="23"/>
  <c r="I12" i="23"/>
  <c r="M10" i="23"/>
  <c r="K10" i="23"/>
  <c r="I10" i="23"/>
  <c r="M6" i="23"/>
  <c r="M7" i="23"/>
  <c r="M8" i="23"/>
  <c r="M9" i="23"/>
  <c r="M11" i="23"/>
  <c r="M13" i="23"/>
  <c r="M15" i="23"/>
  <c r="M16" i="23"/>
  <c r="M18" i="23"/>
  <c r="M20" i="23"/>
  <c r="M22" i="23"/>
  <c r="M23" i="23"/>
  <c r="M25" i="23"/>
  <c r="M26" i="23"/>
  <c r="M28" i="23"/>
  <c r="M30" i="23"/>
  <c r="M31" i="23"/>
  <c r="M32" i="23"/>
  <c r="M35" i="23"/>
  <c r="K6" i="23"/>
  <c r="K7" i="23"/>
  <c r="K8" i="23"/>
  <c r="K9" i="23"/>
  <c r="K11" i="23"/>
  <c r="K13" i="23"/>
  <c r="K15" i="23"/>
  <c r="K16" i="23"/>
  <c r="K18" i="23"/>
  <c r="K20" i="23"/>
  <c r="K22" i="23"/>
  <c r="K23" i="23"/>
  <c r="K25" i="23"/>
  <c r="K26" i="23"/>
  <c r="K28" i="23"/>
  <c r="K30" i="23"/>
  <c r="K31" i="23"/>
  <c r="K32" i="23"/>
  <c r="K35" i="23"/>
  <c r="I7" i="23"/>
  <c r="I8" i="23"/>
  <c r="I9" i="23"/>
  <c r="I11" i="23"/>
  <c r="I13" i="23"/>
  <c r="I15" i="23"/>
  <c r="I16" i="23"/>
  <c r="I18" i="23"/>
  <c r="I20" i="23"/>
  <c r="I22" i="23"/>
  <c r="I23" i="23"/>
  <c r="I25" i="23"/>
  <c r="I26" i="23"/>
  <c r="I28" i="23"/>
  <c r="I30" i="23"/>
  <c r="I31" i="23"/>
  <c r="I32" i="23"/>
  <c r="I35" i="23"/>
  <c r="I6" i="23"/>
  <c r="M5" i="23"/>
  <c r="K5" i="23"/>
  <c r="Z7" i="13" l="1"/>
  <c r="Z8" i="13" s="1"/>
  <c r="Z9" i="13" s="1"/>
  <c r="U45" i="13"/>
  <c r="K75" i="23"/>
  <c r="I75" i="23"/>
  <c r="M75" i="23"/>
  <c r="I37" i="23"/>
  <c r="K37" i="23"/>
  <c r="C96" i="23" s="1"/>
  <c r="M37" i="23"/>
  <c r="C95" i="23" l="1"/>
  <c r="C97" i="23"/>
  <c r="C98" i="23"/>
  <c r="J149" i="3"/>
  <c r="J144" i="3"/>
  <c r="B101" i="23" l="1"/>
  <c r="B104" i="23" s="1"/>
  <c r="I7" i="14" l="1"/>
  <c r="J4" i="5"/>
  <c r="I34" i="14"/>
  <c r="U5" i="13" l="1"/>
  <c r="J52" i="13" l="1"/>
  <c r="C13" i="17"/>
  <c r="C3" i="17" s="1"/>
  <c r="D21" i="20"/>
  <c r="J7" i="6" l="1"/>
  <c r="P14" i="6" s="1"/>
  <c r="I16" i="14"/>
  <c r="O58" i="14" s="1"/>
  <c r="J140" i="3" l="1"/>
  <c r="I43" i="14" s="1"/>
  <c r="W22" i="22" l="1"/>
  <c r="Z22" i="22" s="1"/>
  <c r="X34" i="22"/>
  <c r="X33" i="22"/>
  <c r="X32" i="22"/>
  <c r="W27" i="22"/>
  <c r="Z27" i="22" s="1"/>
  <c r="W26" i="22"/>
  <c r="Z26" i="22" s="1"/>
  <c r="W25" i="22"/>
  <c r="Z25" i="22" s="1"/>
  <c r="W24" i="22"/>
  <c r="Z24" i="22" s="1"/>
  <c r="W23" i="22"/>
  <c r="Z23" i="22" s="1"/>
  <c r="W21" i="22"/>
  <c r="Z21" i="22" s="1"/>
  <c r="W20" i="22"/>
  <c r="Z20" i="22" s="1"/>
  <c r="W19" i="22"/>
  <c r="Z19" i="22" s="1"/>
  <c r="W18" i="22"/>
  <c r="Z18" i="22" s="1"/>
  <c r="W17" i="22"/>
  <c r="Z17" i="22" s="1"/>
  <c r="W16" i="22"/>
  <c r="Z16" i="22" s="1"/>
  <c r="W15" i="22"/>
  <c r="Z15" i="22" s="1"/>
  <c r="W14" i="22"/>
  <c r="Z14" i="22" s="1"/>
  <c r="W13" i="22"/>
  <c r="Z13" i="22" s="1"/>
  <c r="W12" i="22"/>
  <c r="Z12" i="22" s="1"/>
  <c r="W11" i="22"/>
  <c r="Z11" i="22" s="1"/>
  <c r="W10" i="22"/>
  <c r="Z10" i="22" s="1"/>
  <c r="W9" i="22"/>
  <c r="Z9" i="22" s="1"/>
  <c r="W8" i="22"/>
  <c r="Z8" i="22" s="1"/>
  <c r="W7" i="22"/>
  <c r="Z7" i="22" s="1"/>
  <c r="W6" i="22"/>
  <c r="Z6" i="22" s="1"/>
  <c r="W5" i="22"/>
  <c r="Z5" i="22" s="1"/>
  <c r="W4" i="22"/>
  <c r="Z4" i="22" s="1"/>
  <c r="L29" i="22" l="1"/>
  <c r="L32" i="22" s="1"/>
  <c r="L33" i="22" l="1"/>
  <c r="L34" i="22" s="1"/>
  <c r="L35" i="22" s="1"/>
  <c r="J121" i="3" s="1"/>
  <c r="J65" i="3" l="1"/>
  <c r="J14" i="3"/>
  <c r="L36" i="22" l="1"/>
  <c r="L37" i="22" s="1"/>
  <c r="L38" i="22" s="1"/>
  <c r="A3" i="17" s="1"/>
  <c r="A11" i="17" l="1"/>
  <c r="C8" i="17"/>
  <c r="C9" i="17" s="1"/>
  <c r="J109" i="3"/>
  <c r="J113" i="3" s="1"/>
  <c r="I40" i="14" s="1"/>
  <c r="J46" i="5" l="1"/>
  <c r="N85" i="22" l="1"/>
  <c r="N84" i="22"/>
  <c r="N83" i="22"/>
  <c r="P76" i="22" s="1"/>
  <c r="W68" i="22"/>
  <c r="Y68" i="22" s="1"/>
  <c r="W67" i="22"/>
  <c r="Y67" i="22" s="1"/>
  <c r="W66" i="22"/>
  <c r="Y66" i="22" s="1"/>
  <c r="W65" i="22"/>
  <c r="Y65" i="22" s="1"/>
  <c r="W64" i="22"/>
  <c r="Y64" i="22" s="1"/>
  <c r="W63" i="22"/>
  <c r="Y63" i="22" s="1"/>
  <c r="W62" i="22"/>
  <c r="Y62" i="22" s="1"/>
  <c r="W61" i="22"/>
  <c r="Y61" i="22" s="1"/>
  <c r="W60" i="22"/>
  <c r="Y60" i="22" s="1"/>
  <c r="W59" i="22"/>
  <c r="Y59" i="22" s="1"/>
  <c r="W58" i="22"/>
  <c r="Y58" i="22" s="1"/>
  <c r="W57" i="22"/>
  <c r="Y57" i="22" s="1"/>
  <c r="W56" i="22"/>
  <c r="Y56" i="22" s="1"/>
  <c r="W55" i="22"/>
  <c r="Y55" i="22" s="1"/>
  <c r="W54" i="22"/>
  <c r="Y54" i="22" s="1"/>
  <c r="W53" i="22"/>
  <c r="Y53" i="22" s="1"/>
  <c r="W52" i="22"/>
  <c r="Y52" i="22" s="1"/>
  <c r="W51" i="22"/>
  <c r="Y51" i="22" s="1"/>
  <c r="W50" i="22"/>
  <c r="Y50" i="22" s="1"/>
  <c r="W49" i="22"/>
  <c r="Y49" i="22" s="1"/>
  <c r="W48" i="22"/>
  <c r="Y48" i="22" s="1"/>
  <c r="W47" i="22"/>
  <c r="Y47" i="22" s="1"/>
  <c r="W46" i="22"/>
  <c r="Y46" i="22" s="1"/>
  <c r="W45" i="22"/>
  <c r="Y45" i="22" s="1"/>
  <c r="P70" i="22" l="1"/>
  <c r="P72" i="22" s="1"/>
  <c r="P74" i="22" s="1"/>
  <c r="P75" i="22" s="1"/>
  <c r="P77" i="22" l="1"/>
  <c r="P78" i="22" s="1"/>
  <c r="J118" i="3" s="1"/>
  <c r="J63" i="3" l="1"/>
  <c r="J10" i="3"/>
  <c r="J67" i="3" l="1"/>
  <c r="J12" i="3"/>
  <c r="J16" i="3" l="1"/>
  <c r="J69" i="3"/>
  <c r="J158" i="3" l="1"/>
  <c r="J45" i="3" l="1"/>
  <c r="J39" i="3"/>
  <c r="J46" i="3" l="1"/>
  <c r="I33" i="14" s="1"/>
  <c r="J3" i="3"/>
  <c r="J25" i="3" l="1"/>
  <c r="J4" i="3" l="1"/>
  <c r="J101" i="3" l="1"/>
  <c r="J76" i="3"/>
  <c r="J73" i="3"/>
  <c r="J59" i="3" l="1"/>
  <c r="J61" i="3"/>
  <c r="J8" i="3"/>
  <c r="J45" i="5"/>
  <c r="J70" i="3" l="1"/>
  <c r="I35" i="14" s="1"/>
  <c r="J47" i="5"/>
  <c r="I26" i="14" s="1"/>
  <c r="J123" i="3"/>
  <c r="J24" i="3"/>
  <c r="J102" i="3"/>
  <c r="J75" i="3"/>
  <c r="J6" i="3"/>
  <c r="J17" i="3" s="1"/>
  <c r="I31" i="14" l="1"/>
  <c r="J26" i="3"/>
  <c r="I32" i="14" s="1"/>
  <c r="J58" i="5" l="1"/>
  <c r="J167" i="3" l="1"/>
  <c r="I44" i="14" s="1"/>
  <c r="J57" i="5" l="1"/>
  <c r="J59" i="5" s="1"/>
  <c r="I27" i="14" s="1"/>
  <c r="J86" i="3"/>
  <c r="J103" i="3" l="1"/>
  <c r="I39" i="14" s="1"/>
  <c r="J77" i="3"/>
  <c r="J87" i="3"/>
  <c r="I37" i="14" s="1"/>
  <c r="I36" i="14" l="1"/>
  <c r="J117" i="3"/>
  <c r="J124" i="3" s="1"/>
  <c r="I41" i="14" s="1"/>
  <c r="J131" i="3" l="1"/>
  <c r="J133" i="3" s="1"/>
  <c r="I42" i="14" s="1"/>
  <c r="I45" i="14" s="1"/>
  <c r="P53" i="14" s="1"/>
  <c r="B176" i="3" l="1"/>
  <c r="J3" i="6"/>
  <c r="J24" i="5" l="1"/>
  <c r="J25" i="5" s="1"/>
  <c r="J14" i="5"/>
  <c r="J34" i="5"/>
  <c r="E21" i="20"/>
  <c r="D23" i="20"/>
  <c r="J3" i="5" s="1"/>
  <c r="J36" i="5" l="1"/>
  <c r="I25" i="14" s="1"/>
  <c r="J13" i="5"/>
  <c r="J15" i="5" s="1"/>
  <c r="I23" i="14" s="1"/>
  <c r="I24" i="14"/>
  <c r="J5" i="5"/>
  <c r="I22" i="14" l="1"/>
  <c r="B67" i="5"/>
  <c r="J2" i="6" l="1"/>
  <c r="J4" i="11"/>
  <c r="J4" i="6" s="1"/>
  <c r="I48" i="14" s="1"/>
  <c r="I49" i="14" s="1"/>
  <c r="I28" i="14"/>
  <c r="O66" i="14" l="1"/>
  <c r="P66" i="14" s="1"/>
  <c r="J5" i="6"/>
  <c r="P8" i="6" s="1"/>
  <c r="D9" i="6" l="1"/>
  <c r="E62" i="14" s="1"/>
  <c r="I52" i="14"/>
  <c r="I53" i="14" s="1"/>
  <c r="I13" i="14" s="1"/>
  <c r="I89" i="14" s="1"/>
  <c r="O57" i="14" l="1"/>
  <c r="P57" i="14" l="1"/>
  <c r="O89" i="14"/>
  <c r="P89" i="14" s="1"/>
  <c r="O95" i="14" s="1"/>
  <c r="O59" i="14"/>
  <c r="P61" i="14"/>
  <c r="O92" i="14" s="1"/>
  <c r="P92" i="14" s="1"/>
  <c r="P97" i="14" s="1"/>
  <c r="I74" i="14"/>
  <c r="I80" i="14"/>
  <c r="I71" i="14"/>
  <c r="I83" i="14"/>
  <c r="I86" i="14"/>
  <c r="I77" i="14"/>
  <c r="I68" i="14"/>
  <c r="I19" i="14"/>
</calcChain>
</file>

<file path=xl/sharedStrings.xml><?xml version="1.0" encoding="utf-8"?>
<sst xmlns="http://schemas.openxmlformats.org/spreadsheetml/2006/main" count="1193" uniqueCount="525">
  <si>
    <t>COMBUSTÍVEL</t>
  </si>
  <si>
    <t>MÉDIA MENSAL DA QUILOMETRAGEM PROGRAMADA</t>
  </si>
  <si>
    <t>CUSTO MÉDIO MENSAL COM COMBUSTÍVEL:</t>
  </si>
  <si>
    <t>LUBRIFICANTES</t>
  </si>
  <si>
    <t>CUSTO MÉDIO MENSAL COM LUBRIFICANTES:</t>
  </si>
  <si>
    <t>ARLA 32</t>
  </si>
  <si>
    <t>CUSTO MÉDIO MENSAL COM ARLA 32:</t>
  </si>
  <si>
    <t>RODAGEM</t>
  </si>
  <si>
    <t>PREÇO DO PNEU NOVO</t>
  </si>
  <si>
    <t>PREÇO DA RECAPAGEM</t>
  </si>
  <si>
    <t>NÚMERO DE PNEUS</t>
  </si>
  <si>
    <t>CUSTO MÉDIO MENSAL COM RODAGEM:</t>
  </si>
  <si>
    <t>COEFICIENTE DE CONSUMO DE PEÇAS E ACESSÓRIOS</t>
  </si>
  <si>
    <t>FROTA TOTAL</t>
  </si>
  <si>
    <t>PEÇAS E ACESSÓRIOS</t>
  </si>
  <si>
    <t>CUSTO MÉDIO MENSAL COM PEÇAS:</t>
  </si>
  <si>
    <t>COEFICIENTE DE CONSUMO MÉDIO DE COMBUSTÍVEL ¹</t>
  </si>
  <si>
    <t>CUSTOS AMBIENTAIS</t>
  </si>
  <si>
    <t>2 - 4</t>
  </si>
  <si>
    <t>4 - 6</t>
  </si>
  <si>
    <t>6 - 8</t>
  </si>
  <si>
    <t>8 - 10</t>
  </si>
  <si>
    <t>FAIXA ETÁRIA</t>
  </si>
  <si>
    <t>COEFICIENTE</t>
  </si>
  <si>
    <t>0 - 2</t>
  </si>
  <si>
    <t>PREÇO MÉDIO DO ÔNIBUS NOVO</t>
  </si>
  <si>
    <t>CUSTO VARIÁVEL</t>
  </si>
  <si>
    <t>DEPRECIAÇÃO DAS EDIFICAÇÕES, EQUIPAMENTOS E MOBILIÁRIO DE GARAGEM</t>
  </si>
  <si>
    <t>DEPRECIAÇÃO</t>
  </si>
  <si>
    <t>VIDA ÚTIL DAS EDIFICAÇÕES (em anos)</t>
  </si>
  <si>
    <t>COEFICIENTE DE DEPRECIAÇÃO DAS EDIFICAÇÕES²</t>
  </si>
  <si>
    <t>COEFICIENTE DE DEPRECIAÇÃO DOS EQUIPAMENTOS E MOBILIÁRIO DE GARAGEM³</t>
  </si>
  <si>
    <t>²  A metodologia de cálculo da ANTP tem como referência de depreciação das edificações o correspondente a 8,16 % do preço do ônibus novo com pneus para cada veículo da frota. Coeficiente a ser inserido na fórmula é 0,0816.</t>
  </si>
  <si>
    <t>VIDA ÚTIL DOS EQUIPAMENTOS E MOBILIÁRIO DE GARAGEM (em anos)</t>
  </si>
  <si>
    <t>PREÇO DO ÓLEO DIESEL</t>
  </si>
  <si>
    <t>DEPRECIAÇÃO DOS VEÍCULOS DE APOIO</t>
  </si>
  <si>
    <t>FROTA DE APOIO</t>
  </si>
  <si>
    <t>PREÇO DO VEÍCULO DE APOIO</t>
  </si>
  <si>
    <t>VALOR RESIDUAL DO VEÍCULO</t>
  </si>
  <si>
    <t>VIDA ÚTIL DO VEÍCULO DE APOIO (em anos)</t>
  </si>
  <si>
    <t>DEPRECIAÇÃO CAMINHÃO-OFICINA</t>
  </si>
  <si>
    <t>DEPRECIAÇÃO AUTOMÓVEL BÁSICO</t>
  </si>
  <si>
    <r>
      <t>CAMINHÃO-OFICINA</t>
    </r>
    <r>
      <rPr>
        <sz val="12"/>
        <color theme="1"/>
        <rFont val="Calibri"/>
        <family val="2"/>
      </rPr>
      <t>⁶</t>
    </r>
  </si>
  <si>
    <r>
      <t>AUTOMÓVEL BÁSICO</t>
    </r>
    <r>
      <rPr>
        <sz val="12"/>
        <color theme="1"/>
        <rFont val="Calibri"/>
        <family val="2"/>
      </rPr>
      <t>⁷</t>
    </r>
  </si>
  <si>
    <t>DEPRECIAÇÃO DA INFRAESTRUTURA</t>
  </si>
  <si>
    <t>VALOR INVESTIDO EM INFRAESTRUTURA</t>
  </si>
  <si>
    <t>TEMPO DE CONTRATO A PARTIR DO INVESTIMENTO</t>
  </si>
  <si>
    <t xml:space="preserve">REMUNERAÇÃO  </t>
  </si>
  <si>
    <t>TAXA DE REMUNERAÇÃO DO CAPITAL</t>
  </si>
  <si>
    <t>REMUNERAÇÃO DE TERRENOS, EDIFICAÇÕES E EQUIPAMENTOS DE GARAGEM</t>
  </si>
  <si>
    <r>
      <t>TAXA DE REMUNERAÇÃO DO CAPITAL</t>
    </r>
    <r>
      <rPr>
        <sz val="10"/>
        <color theme="1"/>
        <rFont val="Calibri"/>
        <family val="2"/>
      </rPr>
      <t>⁸</t>
    </r>
  </si>
  <si>
    <r>
      <t>SOMA DOS COEFICIENTES DE REMUNERAÇÃO DE TERRENOS, EDIFICAÇÕES E EQUIPAMENTOS E MOBILIÁRIO DE GARAGEM¹</t>
    </r>
    <r>
      <rPr>
        <sz val="10"/>
        <color theme="1"/>
        <rFont val="Calibri"/>
        <family val="2"/>
      </rPr>
      <t>⁰</t>
    </r>
  </si>
  <si>
    <t>Coeficiente de remuneração de edificações (4,53 % do preço do ônibus novo)</t>
  </si>
  <si>
    <t>Coeficiente de remuneração de terrenos (17 % do preço do ônibus novo)</t>
  </si>
  <si>
    <t>Coeficiente de remuneração de equipamentos e mobiliário de garagem (1,37 % do preço do ônibus novo)</t>
  </si>
  <si>
    <t>REMUNERAÇÃO DO ALMOXARIFADO</t>
  </si>
  <si>
    <t>CUSTO COM PEÇAS E ACESSÓRIOS</t>
  </si>
  <si>
    <t>TEMPO PARA ESTOQUE DO ALMOXARIFADO (meses)</t>
  </si>
  <si>
    <t>REMUNERAÇÃO DOS VEÍCULOS DE APOIO</t>
  </si>
  <si>
    <t>REMUNERAÇÃO</t>
  </si>
  <si>
    <t>FATOR DE REMUNERAÇÃO DOS VEÍCULOS DE APOIO¹²</t>
  </si>
  <si>
    <t>¹² Para o fator de remuneração dos veículos de apoio foi adotado o valor de 0,5 % do preço do ônibus novo, correspondendo ao coeficiente de 0,005.</t>
  </si>
  <si>
    <t>CUSTO COM PESSOAL DE OPERAÇÃO</t>
  </si>
  <si>
    <t>CUSTO</t>
  </si>
  <si>
    <t>DEPRECIAÇÃO:</t>
  </si>
  <si>
    <t>REMUNERAÇÃO:</t>
  </si>
  <si>
    <t>CUSTOS COM PESSOAL:</t>
  </si>
  <si>
    <t>BENEFÍCIO DO FUNCIONÁRIO</t>
  </si>
  <si>
    <t>FATOR DE UTILIZAÇÃO FÍSICA</t>
  </si>
  <si>
    <t>PERCENTUAL DA FROTA OPERACIONAL</t>
  </si>
  <si>
    <t>0-1</t>
  </si>
  <si>
    <t>1-2</t>
  </si>
  <si>
    <t>2-3</t>
  </si>
  <si>
    <t>3-4</t>
  </si>
  <si>
    <t>4-5</t>
  </si>
  <si>
    <t>5-6</t>
  </si>
  <si>
    <t>6-7</t>
  </si>
  <si>
    <t>7-8</t>
  </si>
  <si>
    <t>8-9</t>
  </si>
  <si>
    <t>9-10</t>
  </si>
  <si>
    <t>CUSTO COM PESSOAL DE MANUTENÇÃO, ADMINISTRATIVO E DIRETORIA</t>
  </si>
  <si>
    <t>FATOR DE UTILIZAÇÃO¹³</t>
  </si>
  <si>
    <r>
      <t>ENCARGOS SOCIAIS¹</t>
    </r>
    <r>
      <rPr>
        <sz val="10"/>
        <color theme="1"/>
        <rFont val="Calibri"/>
        <family val="2"/>
      </rPr>
      <t>⁴</t>
    </r>
  </si>
  <si>
    <r>
      <t>PERCENTUAL DE REFERÊNCIA INCIDENTE SOBRE AS DESPESAS RELACIONADAS AO PESSOAL DE OPERAÇÃO¹</t>
    </r>
    <r>
      <rPr>
        <sz val="10"/>
        <color theme="1"/>
        <rFont val="Calibri"/>
        <family val="2"/>
      </rPr>
      <t>⁵</t>
    </r>
  </si>
  <si>
    <t>DESPESAS ADMINISTRATIVAS:</t>
  </si>
  <si>
    <t>DESPESAS GERAIS</t>
  </si>
  <si>
    <t>DESPESAS</t>
  </si>
  <si>
    <t>SEGURANÇA</t>
  </si>
  <si>
    <t>MATERIAL DE CONSUMO</t>
  </si>
  <si>
    <t>SERVIÇOS PÚBLICOS</t>
  </si>
  <si>
    <t>SERVIÇO DE COMUNICAÇÃO</t>
  </si>
  <si>
    <t>SERVIÇOS TERCEIRIZADOS</t>
  </si>
  <si>
    <t>SEGURO OBRIGATÓRIO E TAXA DE LICENCIAMENTO</t>
  </si>
  <si>
    <t>SEGURO OBRIGATÓRIO</t>
  </si>
  <si>
    <t>SEGURO DE RESPONSABILIDADE CIVIL</t>
  </si>
  <si>
    <t>VALOR ANUAL</t>
  </si>
  <si>
    <t>IPVA</t>
  </si>
  <si>
    <t>ISENTO</t>
  </si>
  <si>
    <t>REMUNERAÇÃO PELA PRESTAÇÃO DOS SERVIÇOS</t>
  </si>
  <si>
    <t>CUSTO FIXO</t>
  </si>
  <si>
    <t>TRIBUTAÇÃO</t>
  </si>
  <si>
    <t>DESONERAÇÃO DA FOLHA</t>
  </si>
  <si>
    <t>ISSQN</t>
  </si>
  <si>
    <t>TARIFA</t>
  </si>
  <si>
    <t>GRATUIDADES</t>
  </si>
  <si>
    <t>RECEITA MÉDIA MENSAL</t>
  </si>
  <si>
    <t>Desoneração da folha é de 2% e o ISSQN é de 3,5% incidentes sobre a receita bruta.</t>
  </si>
  <si>
    <t>SUBSÍDIO</t>
  </si>
  <si>
    <t>TARIFA PÚBLICA VIGENTE</t>
  </si>
  <si>
    <t>FU MOTORISTAS</t>
  </si>
  <si>
    <t>FU DESPACHANTES</t>
  </si>
  <si>
    <t>³ A metodologia de cálculo da ANTP tem como referência de depreciação dos equipamentos e mobiliário de garagem o correspondente a 2,74 % do preço do ônibus novo com pneus para cada veículo da frota. Coeficiente a ser inserido na fórmula é 0,0274.</t>
  </si>
  <si>
    <t>SALÁRIO DO FUNCIONÁRIO¹³</t>
  </si>
  <si>
    <t>PREÇO DO ÓLEO DIESEL (R $)²</t>
  </si>
  <si>
    <t>COEFICIENTE DE CORRELAÇÃO ENTRE O CONSUMO DE LUBRIFICANTES E O PREÇO DO ÓLEO DIESEL ³</t>
  </si>
  <si>
    <r>
      <t>COEFICIENTE DE CORRELAÇÃO ENTRE O CONSUMO DO ARLA 32 E O PREÇO DO ÓLEO DIESEL</t>
    </r>
    <r>
      <rPr>
        <sz val="10"/>
        <color theme="1"/>
        <rFont val="Calibri"/>
        <family val="2"/>
      </rPr>
      <t>⁴</t>
    </r>
  </si>
  <si>
    <r>
      <t>QUANTIDADE DE RECAPAGENS PERMITIDA</t>
    </r>
    <r>
      <rPr>
        <sz val="10"/>
        <color theme="1"/>
        <rFont val="Calibri"/>
        <family val="2"/>
      </rPr>
      <t>⁵</t>
    </r>
  </si>
  <si>
    <r>
      <t>VIDA ÚTIL DOS PNEUS (km)</t>
    </r>
    <r>
      <rPr>
        <sz val="10"/>
        <color theme="1"/>
        <rFont val="Calibri"/>
        <family val="2"/>
      </rPr>
      <t>⁶</t>
    </r>
  </si>
  <si>
    <r>
      <t>PREÇO MÉDIO DO ÔNIBUS NOVO</t>
    </r>
    <r>
      <rPr>
        <sz val="10"/>
        <color theme="1"/>
        <rFont val="Calibri"/>
        <family val="2"/>
      </rPr>
      <t>⁷</t>
    </r>
  </si>
  <si>
    <r>
      <t>FATOR DE CORRELAÇÃO DOS CUSTOS AMBIENTAIS COM O PREÇO DO ÔNIBUS NOVO</t>
    </r>
    <r>
      <rPr>
        <sz val="10"/>
        <color theme="1"/>
        <rFont val="Calibri"/>
        <family val="2"/>
      </rPr>
      <t>⁸</t>
    </r>
  </si>
  <si>
    <t>Fator de utilização resultante da aplicação do formulário para o cálculo dos fatores de utilização de motoristas e despachantes.</t>
  </si>
  <si>
    <t>TARIFA DO TRANSPORTE COLETIVO</t>
  </si>
  <si>
    <t>RESUMO</t>
  </si>
  <si>
    <t>QUILOMETRAGEM</t>
  </si>
  <si>
    <t>PASSAGEIROS</t>
  </si>
  <si>
    <t xml:space="preserve">RECEITA  </t>
  </si>
  <si>
    <t>Custos ambientais:</t>
  </si>
  <si>
    <t>Total:</t>
  </si>
  <si>
    <t>Depreciação dos veículos:</t>
  </si>
  <si>
    <t>Depreciação das edificações, equipamentos e mobiliário de garagem:</t>
  </si>
  <si>
    <t>Depreciação dos veículos de apoio:</t>
  </si>
  <si>
    <t>Depreciação da infraestrutura:</t>
  </si>
  <si>
    <t>Remuneração dos veículos:</t>
  </si>
  <si>
    <t>Remuneração das edificações, equipamentos e mobiliário de garagem:</t>
  </si>
  <si>
    <t>Remuneração do almoxarifado:</t>
  </si>
  <si>
    <t>Remuneração dos veículos de apoio:</t>
  </si>
  <si>
    <t>Custo com pessoal de operação:</t>
  </si>
  <si>
    <t>Custo com pessoal de manutenção, administrativo e diretoria:</t>
  </si>
  <si>
    <t xml:space="preserve">REMUNERAÇÃO PELA PRESTAÇÃO DOS SERVIÇOS </t>
  </si>
  <si>
    <t xml:space="preserve">TRIBUTAÇÃO </t>
  </si>
  <si>
    <t>Tributação:</t>
  </si>
  <si>
    <t>CV+CF+RPS+TRIBUTAÇÃO - SUBSÍDIO</t>
  </si>
  <si>
    <t>RECEITA MÉDIA MENSAL/TARIFA PÚBLICA VIGENTE</t>
  </si>
  <si>
    <t>TARIFA:</t>
  </si>
  <si>
    <t>Quantidade</t>
  </si>
  <si>
    <t>Função</t>
  </si>
  <si>
    <t>Salário (R$)</t>
  </si>
  <si>
    <t>Total de pessoal de operação:</t>
  </si>
  <si>
    <t>REMUNERAÇÃO PELO FATOR DE RISCO</t>
  </si>
  <si>
    <t>Remuneração pelo fator de risco:</t>
  </si>
  <si>
    <t>Salário médio do pessoal de operação (R$):</t>
  </si>
  <si>
    <t>⁴ A metodologia de cálculo da ANTP tem como referência de coeficiente de consumo do ARLA 32 o valor mínimo de 0,03 e máximo de 0,05. Adota-se, para este cálculo, o coeficiente de 0,03 .</t>
  </si>
  <si>
    <t>⁵ A metodologia de cálculo da ANTP tem como referência de número de recapagens o valor mínimo de 2 e máximo de 3. Por tratar-se de transporte urbano, adota-se, para este cálculo, o número mínimo de recapagens.</t>
  </si>
  <si>
    <t>⁷ Preço do MIDIÔNIBUS:</t>
  </si>
  <si>
    <t>⁷ Preço do ÔNIBUS BÁSICO:</t>
  </si>
  <si>
    <t>⁷ Quantidade de MIDIÔNIBUS:</t>
  </si>
  <si>
    <t>⁷ Quantidade de ÔNIBUS BÁSICO:</t>
  </si>
  <si>
    <t>⁷ Os valores acima foram retirados da cotação realizada pela concessionária atual para o reajuste da tarifa.</t>
  </si>
  <si>
    <t>6%</t>
  </si>
  <si>
    <t>7%</t>
  </si>
  <si>
    <t>8%</t>
  </si>
  <si>
    <t>9%</t>
  </si>
  <si>
    <t>10%</t>
  </si>
  <si>
    <t xml:space="preserve">⁸ A metodologia de cálculo da ANTP tem como referência de coeficiente de fator de correlação dos custos ambientais o valor mínimo de 0,010 e máximo de 0,015. Adota-se, para este cálculo, o coeficiente mínimo. </t>
  </si>
  <si>
    <t>¹⁰ A metodologia de cálculo da ANTP adota os coeficientes abaixo relacionados:</t>
  </si>
  <si>
    <t>DEPRECIAÇÃO DOS VEÍCULOS¹</t>
  </si>
  <si>
    <t>¹ A metodologia de cálculo da ANTP tem como referência de depreciação de veículo para as classes utilizadas para a prestação dos serviços:</t>
  </si>
  <si>
    <t>IDADE</t>
  </si>
  <si>
    <t>PREÇO MÉDIO DO ÔNIBUS NOVO SEM PNEUS</t>
  </si>
  <si>
    <t>FROTA VEÍCULO 1-2 ANOS</t>
  </si>
  <si>
    <t>COEFICIENTE DE DEPRECIAÇÃO DE VEÍCULO 1-2 ANOS</t>
  </si>
  <si>
    <r>
      <t>REMUNERAÇÃO DOS VEÍCULOS</t>
    </r>
    <r>
      <rPr>
        <b/>
        <sz val="14"/>
        <color theme="1"/>
        <rFont val="Calibri"/>
        <family val="2"/>
      </rPr>
      <t>⁹</t>
    </r>
  </si>
  <si>
    <t>COEFICIENTE DE REMUNERAÇÃO DE VEÍCULO 1-2 ANOS</t>
  </si>
  <si>
    <t>⁹ A metodologia de cálculo da ANTP tem como referência para o coeficiente de remuneração do capital para ônibus das classses MIDIÔNIBUS e ÔNIBUS BÁSICO:</t>
  </si>
  <si>
    <t>Custo com combustível:</t>
  </si>
  <si>
    <t>Custo com lubrificantes:</t>
  </si>
  <si>
    <t>Custo com ARLA 32:</t>
  </si>
  <si>
    <t>Custo com rodagem:</t>
  </si>
  <si>
    <t>Custo com peças e acessórios:</t>
  </si>
  <si>
    <t>¹³ Salário médio do funcionário, conforme dados apresentados pela operadora.</t>
  </si>
  <si>
    <t>Salário normativo dos motoristas:</t>
  </si>
  <si>
    <t>Adicional de dupla função (15%):</t>
  </si>
  <si>
    <t>Despesas administrativas( despesas gerais e taxas de licenciamento):</t>
  </si>
  <si>
    <t>TAXA DE LICENCIAMENTO + SEGURO OBRIGATÓRIO</t>
  </si>
  <si>
    <t>CONSUMO MÉDIO (km/l)</t>
  </si>
  <si>
    <t>SOMA (km/l):</t>
  </si>
  <si>
    <t>MÉDIA (km/l):</t>
  </si>
  <si>
    <t>COEFICIENTE DE CONSUMO DE COMBUSTÍVEL:</t>
  </si>
  <si>
    <t>A metodologia da ANTP diz que quando há a opção por locação de garagem não deve-se depreciar a infraestrutura</t>
  </si>
  <si>
    <t>LOCAÇÃO DA INFRAESTRUTURA</t>
  </si>
  <si>
    <t>DISTANCIA PERCORRIDA (km)</t>
  </si>
  <si>
    <t>VOLUME ABASTECIDO (l)</t>
  </si>
  <si>
    <t>Fiscais</t>
  </si>
  <si>
    <t>Motoristas</t>
  </si>
  <si>
    <t>Encarregado</t>
  </si>
  <si>
    <t>³ A metodologia de cálculo da ANTP tem como referência de coeficiente de consumo de lubrificantes o valor mínimo de 0,0240 l/km e máximo de 0,0290 l/km. Adota-se, para este cálculo, o coeficiente de 0,0240 l/km.</t>
  </si>
  <si>
    <t>¹ Coeficiente médio ponderado de consumo de combustível conforme cálculo de consumo</t>
  </si>
  <si>
    <t>Diferença:</t>
  </si>
  <si>
    <t>FROTA VEÍCULO 7-8 ANOS</t>
  </si>
  <si>
    <t>COEFICIENTE DE DEPRECIAÇÃO DE VEÍCULO 7-8 ANOS</t>
  </si>
  <si>
    <t>COEFICIENTE DE  REMUNERAÇÃO DE VEÍCULO 7-8 ANOS</t>
  </si>
  <si>
    <t>LINHA</t>
  </si>
  <si>
    <t>QUILOMETRAGEM PRODUTIVA</t>
  </si>
  <si>
    <t>QUILOMETRAGEM DIÁRIA (km)</t>
  </si>
  <si>
    <t>VIAGENS</t>
  </si>
  <si>
    <t>SEG À SEX</t>
  </si>
  <si>
    <t>SAB</t>
  </si>
  <si>
    <t>DOM</t>
  </si>
  <si>
    <t>L01 COLINA VERDE</t>
  </si>
  <si>
    <t>L02 MORRO</t>
  </si>
  <si>
    <t>L03 JARDIM AMÉRICA</t>
  </si>
  <si>
    <t>L04 BELAVISTA</t>
  </si>
  <si>
    <t>L05 NOVO HORIZONTE</t>
  </si>
  <si>
    <t>L06 PEDRO SIMON</t>
  </si>
  <si>
    <t>L08 WALDEREZ</t>
  </si>
  <si>
    <t>L09 BOA VISTA</t>
  </si>
  <si>
    <t>L10 IPIRANGA</t>
  </si>
  <si>
    <t>L12 SIAL</t>
  </si>
  <si>
    <t>L13 PARQUE JOEL</t>
  </si>
  <si>
    <t>L14 PASQUALINE</t>
  </si>
  <si>
    <t>L15 TRÊS PORTOS</t>
  </si>
  <si>
    <t>L16 COHAB HOSPITAL</t>
  </si>
  <si>
    <t>L18 FORTUNA</t>
  </si>
  <si>
    <t>L19 HOSPITAL COHAB</t>
  </si>
  <si>
    <t>L20 HOSPITAL CARIOCA</t>
  </si>
  <si>
    <t>L21 RECANTO DOS JARDINS</t>
  </si>
  <si>
    <t>TOTAL: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</si>
  <si>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</si>
  <si>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</si>
  <si>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</si>
  <si>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</si>
  <si>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</si>
  <si>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</si>
  <si>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</si>
  <si>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</si>
  <si>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</si>
  <si>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</si>
  <si>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</si>
  <si>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</si>
  <si>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DIAS ÚTEIS</t>
  </si>
  <si>
    <t>¹⁵ Para este cálculo o percentual mínimo de referência da metodologia da ANTP é de 28,41 % e máximo de 55,58 %,  para a faixa de empresa 2 (frota de veículos entre 23 a 45 veículos). Adota-se o percentual mínimo.</t>
  </si>
  <si>
    <t>LOCAÇÕES:</t>
  </si>
  <si>
    <t>CUSTO COM LOCAÇÃO DA GARAGEM</t>
  </si>
  <si>
    <t>CUSTO COM LOCAÇÃO DO ESCRITÓRIO</t>
  </si>
  <si>
    <t xml:space="preserve">CUSTO </t>
  </si>
  <si>
    <t>CUSTO TOTAL COM LOCAÇÕES</t>
  </si>
  <si>
    <t>Nº</t>
  </si>
  <si>
    <t>Dividir pelo número de veículos com registro de abastecimento no mês</t>
  </si>
  <si>
    <t>Auditor</t>
  </si>
  <si>
    <t>FROTA VEÍCULO 6-7 ANOS</t>
  </si>
  <si>
    <t>COEFICIENTE DE DEPRECIAÇÃO DE VEÍCULO 6-7 ANOS</t>
  </si>
  <si>
    <t>COEFICIENTE DE  REMUNERAÇÃO DE VEÍCULO 6-7 ANOS</t>
  </si>
  <si>
    <t>%</t>
  </si>
  <si>
    <t xml:space="preserve">CUSTO VARIÁVEL </t>
  </si>
  <si>
    <t>Percentual em relação ao custo total da operação:</t>
  </si>
  <si>
    <t>RECEITA COM PAGAMENTO DE TARIFA</t>
  </si>
  <si>
    <t>CUSTO COM COMBUSTÍVEL</t>
  </si>
  <si>
    <t>CUSTO COM PESSOAL</t>
  </si>
  <si>
    <t>Indicadores:</t>
  </si>
  <si>
    <t>CUSTO POR QUILÔMETRO</t>
  </si>
  <si>
    <t>Data da NF</t>
  </si>
  <si>
    <t>Valor do litro (R$)</t>
  </si>
  <si>
    <t>Quantidade de litros</t>
  </si>
  <si>
    <t>Total (R$)</t>
  </si>
  <si>
    <t>SOMA</t>
  </si>
  <si>
    <t>VALOR MÉDIO DO LITRO (R$)</t>
  </si>
  <si>
    <t>Fiscal de Rota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</si>
  <si>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</si>
  <si>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</si>
  <si>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</si>
  <si>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</si>
  <si>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</si>
  <si>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</si>
  <si>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</si>
  <si>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</si>
  <si>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</si>
  <si>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</si>
  <si>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</si>
  <si>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</si>
  <si>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</si>
  <si>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</si>
  <si>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</si>
  <si>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</si>
  <si>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</si>
  <si>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</si>
  <si>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</si>
  <si>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</si>
  <si>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</si>
  <si>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PERCENTUAL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</si>
  <si>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</si>
  <si>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</si>
  <si>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</si>
  <si>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</si>
  <si>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</si>
  <si>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</si>
  <si>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</si>
  <si>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</si>
  <si>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</si>
  <si>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</si>
  <si>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</si>
  <si>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</si>
  <si>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</si>
  <si>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</si>
  <si>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 xml:space="preserve">Duração Equivalente da Operação (soma do % em dia útil /100) </t>
  </si>
  <si>
    <t>( A )</t>
  </si>
  <si>
    <t>PERCENTUAL PARA FOLGA SEMANAL REMUNERADA</t>
  </si>
  <si>
    <t>SE NEGATIVO</t>
  </si>
  <si>
    <t xml:space="preserve">Jornada Diária de Trabalho de Motoristas </t>
  </si>
  <si>
    <t>( B )</t>
  </si>
  <si>
    <t>PERCENTUAL PARA FERIADOS</t>
  </si>
  <si>
    <t>Coeficiente de Utilização em Horas Normais (A/B)</t>
  </si>
  <si>
    <t>( C )</t>
  </si>
  <si>
    <t>PERCENTUAL PARA FÉRIAS</t>
  </si>
  <si>
    <t>Horas Extras ((C - 2) se positivo, se negativo, adotar zero)</t>
  </si>
  <si>
    <t>( D )</t>
  </si>
  <si>
    <t>PERCENTUAL PARA FALTAS POR ENFERMIDADE</t>
  </si>
  <si>
    <t>Horas Normais ( C - D )</t>
  </si>
  <si>
    <t>( E )</t>
  </si>
  <si>
    <t>PERCENTUAL PARA FALTAS NÃO JUSTIFICADAS</t>
  </si>
  <si>
    <t>Coeficiente de Utilização (E+(D*1,5)*(1+(52/(365-52))))</t>
  </si>
  <si>
    <t>( F )</t>
  </si>
  <si>
    <t>Percentual de Pessoal para cobrir Folgas, Férias e Reserva</t>
  </si>
  <si>
    <t>( G )</t>
  </si>
  <si>
    <t>Pessoal para cobrir Folgas, Férias e Reserva (F*G/100)</t>
  </si>
  <si>
    <t>( H )</t>
  </si>
  <si>
    <t>Fator de utilização de Motoristas (F+H)</t>
  </si>
  <si>
    <t xml:space="preserve">POSTO 1 </t>
  </si>
  <si>
    <t>POSTO 2</t>
  </si>
  <si>
    <t xml:space="preserve">CENTRO </t>
  </si>
  <si>
    <t>SETE DE SETEMBRO</t>
  </si>
  <si>
    <t>L01, L02, L03, L04, L05, L06, L07, L08, L09, L10, L13, L14 e L21.</t>
  </si>
  <si>
    <t>L12, L16, L18, L19 e L20.</t>
  </si>
  <si>
    <t>Jornada Diária de Trabalho de Despachantes e Fiscais</t>
  </si>
  <si>
    <t>Fator de utilização de Despachantes e Fiscais (F+H)</t>
  </si>
  <si>
    <t>FROTA OPERACIONAL</t>
  </si>
  <si>
    <t>ÚTEIS</t>
  </si>
  <si>
    <t>REDUÇÃO</t>
  </si>
  <si>
    <t>PLACAS</t>
  </si>
  <si>
    <t>KRL5J66</t>
  </si>
  <si>
    <t>KRS4I53</t>
  </si>
  <si>
    <t>KRS5A22</t>
  </si>
  <si>
    <t>KWZ7C23</t>
  </si>
  <si>
    <t>LMH8A72</t>
  </si>
  <si>
    <t>LMJ8C20</t>
  </si>
  <si>
    <t>LRW1J29</t>
  </si>
  <si>
    <t>PAF6H42</t>
  </si>
  <si>
    <t>PAF6H43</t>
  </si>
  <si>
    <t>PAF6H44</t>
  </si>
  <si>
    <t>PMQ6E26</t>
  </si>
  <si>
    <t>PMX9I85</t>
  </si>
  <si>
    <t>PMY0J65</t>
  </si>
  <si>
    <t>PMY1E55</t>
  </si>
  <si>
    <t>FROTA VEÍCULO 8-9 ANOS</t>
  </si>
  <si>
    <t>COEFICIENTE DE DEPRECIAÇÃO DE VEÍCULO 8-9 ANOS</t>
  </si>
  <si>
    <t>COEFICIENTE DE  REMUNERAÇÃO DE VEÍCULO 8-9 ANOS</t>
  </si>
  <si>
    <t>KRF7I46</t>
  </si>
  <si>
    <t>KQW5C60</t>
  </si>
  <si>
    <t>KRS5A26</t>
  </si>
  <si>
    <t>KRO4F39</t>
  </si>
  <si>
    <t>FROTA VEÍCULO 9-10 ANOS</t>
  </si>
  <si>
    <t>COEFICIENTE DE DEPRECIAÇÃO DE VEÍCULO 9-10 ANOS</t>
  </si>
  <si>
    <t>COEFICIENTE DE  REMUNERAÇÃO DE VEÍCULO 9-10 ANOS</t>
  </si>
  <si>
    <t>CUSTO COM PLANO DE SAÚDE</t>
  </si>
  <si>
    <t>DOCTOR CLIN OPERADORA DE PLANOS DE SAÚDE LTDA</t>
  </si>
  <si>
    <t>SULMED ASSISTÊNCIA MÉDICA LTDA</t>
  </si>
  <si>
    <t>Locações:</t>
  </si>
  <si>
    <t>Custo com plano de saúde:</t>
  </si>
  <si>
    <t>SOFTWARE DE PROGRAMAÇÃO E PLANEJAMENTO</t>
  </si>
  <si>
    <t>PREFIXO</t>
  </si>
  <si>
    <t>KRL5B56</t>
  </si>
  <si>
    <t>LSI7B12</t>
  </si>
  <si>
    <t>BDX1F10</t>
  </si>
  <si>
    <t>BDX1F30</t>
  </si>
  <si>
    <t>⁶ A metodologia de cálculo ANTP tem como referência para vida útil do caminhão-oficina 15 anos e valor residual 10 %.</t>
  </si>
  <si>
    <t>⁷ A metodologia de cálculo ANTP tem como referência para vida útil do automóvel básico 5 anos e valor residual 20 %.</t>
  </si>
  <si>
    <t>CUSTO OPERACIONAL</t>
  </si>
  <si>
    <t>DIFERENÇA ENTRE CUSTO OPERACIONAL E RECEITA</t>
  </si>
  <si>
    <t>CARTÃO ANTECIPADO PLUS</t>
  </si>
  <si>
    <t>Normal (R$ 4,70)</t>
  </si>
  <si>
    <t>Reduzida (R$ 3,70)</t>
  </si>
  <si>
    <t>CARTÃO FÁCIL</t>
  </si>
  <si>
    <t>CARTÃO SOCIAL</t>
  </si>
  <si>
    <t>CARTÃO ESTUDANTE CGB METROPOLITANO</t>
  </si>
  <si>
    <t>CARTÃO VALE TRANSPORTE</t>
  </si>
  <si>
    <t>CARTÃO VALE PESSOAL</t>
  </si>
  <si>
    <t>PAGAMENTO EM ESPÉCIE (DINHEIRO)</t>
  </si>
  <si>
    <t>IDOSO 65 +</t>
  </si>
  <si>
    <t>IDOSO 60 a 65</t>
  </si>
  <si>
    <t xml:space="preserve">Tipo  </t>
  </si>
  <si>
    <t>PASSAGEIROS TRANSPORTADOS</t>
  </si>
  <si>
    <t>KRK9I42</t>
  </si>
  <si>
    <t>KWY8C50</t>
  </si>
  <si>
    <t>KWY8A38</t>
  </si>
  <si>
    <t>LSI3D56</t>
  </si>
  <si>
    <t>CARTÃO ESTUDANTE CGB MUNICIPAL</t>
  </si>
  <si>
    <t>KRP3A37</t>
  </si>
  <si>
    <t>KRS4I50</t>
  </si>
  <si>
    <t>KYA7C37</t>
  </si>
  <si>
    <t>LMH5J52</t>
  </si>
  <si>
    <t>LSS3A01</t>
  </si>
  <si>
    <t>QHV1J64</t>
  </si>
  <si>
    <t>CUSTO COM INSPEÇÕES TÉCNICAS VEICULARES</t>
  </si>
  <si>
    <t>CUSTO POR INSPEÇÃO</t>
  </si>
  <si>
    <t>CUSTO COM TAXAS MUNICIPAIS</t>
  </si>
  <si>
    <t>TAXA DE EXPEDIÇÃO DE ALVARÁ POR VEÍCULO</t>
  </si>
  <si>
    <t>TAXA DE FISCALIZAÇÃO POR VEÍCULO</t>
  </si>
  <si>
    <t>L02.1 SAÍDA MORRO</t>
  </si>
  <si>
    <t>EXTENSÃO (Km)</t>
  </si>
  <si>
    <t xml:space="preserve">SEG À SEX          </t>
  </si>
  <si>
    <t xml:space="preserve">SÁBADOS </t>
  </si>
  <si>
    <t xml:space="preserve">DOMINGOS </t>
  </si>
  <si>
    <t>L02.2 VIA PEDREIRA</t>
  </si>
  <si>
    <t>L05.1 SAÍDA AV. THEODOMIRO P. DA FONSECA, ESQ. AV. JUVENTINO MACHADO</t>
  </si>
  <si>
    <t>L03.1 SAÍDA RUA TROPEIROS</t>
  </si>
  <si>
    <t>L04.1 SAÍDA RUA TERESINA</t>
  </si>
  <si>
    <t>L08.1 SAÍDA RUA LUIS LOPES</t>
  </si>
  <si>
    <t>L09.1 SAÍDA RUA CLOVIS ELI</t>
  </si>
  <si>
    <t>L10.1 SAÍDA RUA OTACÍLIO C. DUARTE</t>
  </si>
  <si>
    <t>L13.1 SAÍDA RUA AMÉRICO VESPÚCIO</t>
  </si>
  <si>
    <t>L15.1 VIA COHAB BLOCOS</t>
  </si>
  <si>
    <t>L16.1 SAÍDA RUBEM DARIO</t>
  </si>
  <si>
    <t>L20.1 SAÍDA RUA CANTO DO RIO</t>
  </si>
  <si>
    <t>L20.2 VIA EMEF HUGO GERDAU NO RETORNO</t>
  </si>
  <si>
    <t>L21.1 SAÍDA RUA RIO PARNAÍBA</t>
  </si>
  <si>
    <t>QUILOMETRAGEM PERÍODO LETIVO (14.02.2024 a 24/12/2024)</t>
  </si>
  <si>
    <t>QUILOMETRAGEM TABELAS DE VERÃO (01.01.2024 a 13/02/2024 e 25/12/2024 a 31/12/2024)</t>
  </si>
  <si>
    <t>QUANTIDADE DE DIAS POR TIPO DE TABELA ENTRE JANEIRO E DEZEMBRO DE 2024</t>
  </si>
  <si>
    <t>PERÍODO LETIVO</t>
  </si>
  <si>
    <t>TABELAS DE VERÃO</t>
  </si>
  <si>
    <t>SÁBADO</t>
  </si>
  <si>
    <t>DOMINGO</t>
  </si>
  <si>
    <t>SEGUNDA À SEXTA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</si>
  <si>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</si>
  <si>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</si>
  <si>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</si>
  <si>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</si>
  <si>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</si>
  <si>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</si>
  <si>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</si>
  <si>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</si>
  <si>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</si>
  <si>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</si>
  <si>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</si>
  <si>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</si>
  <si>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DE SEGUNDA A SEXTA</t>
  </si>
  <si>
    <t>TOTAL AOS SÁBADOS</t>
  </si>
  <si>
    <t>TOTAL AOS DOMINGOS E FERIADOS</t>
  </si>
  <si>
    <t>TOTAL GERAL:</t>
  </si>
  <si>
    <t>RODAGEM MÉDIA MENSAL</t>
  </si>
  <si>
    <t xml:space="preserve">PROPSPEÇÃO DA RODAGEM PRODUTIVA ANUAL </t>
  </si>
  <si>
    <t>PROPSPEÇÃO DA RODAGEM IMPRODUTIVA ANUAL (5% DA RODAGEM PRODUTIVA)</t>
  </si>
  <si>
    <t>Quantidade de utilizações neste tipo de meio de pagamento</t>
  </si>
  <si>
    <t>Receita Renunciada no período</t>
  </si>
  <si>
    <t>Receita Auferida no período</t>
  </si>
  <si>
    <t>TOTAL DA RECEITA AUFERIDA NO PERÍODO:</t>
  </si>
  <si>
    <t>MÉDIA MENSAL DA RECEITA AUFERIDA :</t>
  </si>
  <si>
    <t>Valor da Tarifa</t>
  </si>
  <si>
    <t>Quantidade de utilizações</t>
  </si>
  <si>
    <t>MÉDIA MENSAL DE PASSAGEIROS TRANSPORTADOS:</t>
  </si>
  <si>
    <t>Passageiros transportados (média mensal):</t>
  </si>
  <si>
    <t>Quilometragem programada (média mensal):</t>
  </si>
  <si>
    <t>Custo operacional (média mensal):</t>
  </si>
  <si>
    <t>Receita auferida com tarifa vigente (média mensal):</t>
  </si>
  <si>
    <t>MARÇO 2023</t>
  </si>
  <si>
    <t>FRB4J41</t>
  </si>
  <si>
    <t>FRD1A76</t>
  </si>
  <si>
    <t>FRE1E35</t>
  </si>
  <si>
    <t>FRK5E27</t>
  </si>
  <si>
    <t>FRK7C43</t>
  </si>
  <si>
    <t>FSJ3G91</t>
  </si>
  <si>
    <t>FSJ3G98</t>
  </si>
  <si>
    <t>FSK8H96</t>
  </si>
  <si>
    <t>FSM1D65</t>
  </si>
  <si>
    <t>FSP9C13</t>
  </si>
  <si>
    <t>FSU9B12</t>
  </si>
  <si>
    <t>FTW9A82</t>
  </si>
  <si>
    <t>FTX8C63</t>
  </si>
  <si>
    <t>FUL2E40</t>
  </si>
  <si>
    <t>FVZ6J10</t>
  </si>
  <si>
    <t>KQW5260</t>
  </si>
  <si>
    <t>KRF7146</t>
  </si>
  <si>
    <t>KRL6E27</t>
  </si>
  <si>
    <t>KRO4539</t>
  </si>
  <si>
    <t>KRP3037</t>
  </si>
  <si>
    <t>QHV1964</t>
  </si>
  <si>
    <t>ABRIL 2023</t>
  </si>
  <si>
    <t>BDX1510</t>
  </si>
  <si>
    <t>MAIO 2023</t>
  </si>
  <si>
    <t>JUNHO 2023</t>
  </si>
  <si>
    <t>JULHO 2023</t>
  </si>
  <si>
    <t>BDX1530</t>
  </si>
  <si>
    <t>AGOSTO 2023</t>
  </si>
  <si>
    <t>KRK9842</t>
  </si>
  <si>
    <t>KWY8038</t>
  </si>
  <si>
    <t>KWY8250</t>
  </si>
  <si>
    <t>KYA7237</t>
  </si>
  <si>
    <t>LMH5952</t>
  </si>
  <si>
    <t>LSI3356</t>
  </si>
  <si>
    <t>SETEMBRO 2023</t>
  </si>
  <si>
    <t>OUTUBRO 2023</t>
  </si>
  <si>
    <t>NOVEMBRO 2023</t>
  </si>
  <si>
    <t>DEZEMBRO 2023</t>
  </si>
  <si>
    <t>JANEIRO 2024</t>
  </si>
  <si>
    <t>FEVEREIRO 2024</t>
  </si>
  <si>
    <t>COEFICIENTE MÉDIO DE CONSUMO DE COMBUSTÍVEL DOS ÚLTIMOS 12 MESES:</t>
  </si>
  <si>
    <t>Custo por quilômetro rodado (R$):</t>
  </si>
  <si>
    <t>PREÇO DO ARLA 32</t>
  </si>
  <si>
    <t>COEFICIENTE DE CONSUMO MÉDIO DE COMBUSTÍVEL</t>
  </si>
  <si>
    <t>⁸ A taxa de remuneração do capital é de 10,52% ao ano.</t>
  </si>
  <si>
    <t>⁶  A metodologia de cálculo da ANTP tem como referência para vida útil de pneus o valor mínimo de 85.000 km e máximo de 125.000 km. Para este cálculo adota-se o valor de 185.000 km. (máximo da vida útil dos pneus + 2* vida útil das recapagens (60.000)</t>
  </si>
  <si>
    <r>
      <t xml:space="preserve">² Preço médio do óleo diesel </t>
    </r>
    <r>
      <rPr>
        <sz val="10"/>
        <color rgb="FFFF0000"/>
        <rFont val="Times New Roman"/>
        <family val="1"/>
      </rPr>
      <t>R$ 5,4000</t>
    </r>
    <r>
      <rPr>
        <sz val="10"/>
        <color theme="1"/>
        <rFont val="Times New Roman"/>
        <family val="1"/>
      </rPr>
      <t>, conforme notas fiscais apresentadas.</t>
    </r>
  </si>
  <si>
    <t>REMUNERAÇÃO PELA PRESTAÇÃO DE SERVIÇO</t>
  </si>
  <si>
    <t>Dados extraídos da bilhetagem eletrônica, referente aos meses de JULHO à DEZEMBRO de 2023, JANEIRO à ABRIL de 2024 e  JULHO à AGOSTO de 2024.</t>
  </si>
  <si>
    <t>Meses de MAIO e JUNHO de 2024 foram deixados de fora da amostra para evitar distorções de demanda devido à enchente que afetou a mobilidade metropolitana e municipal.</t>
  </si>
  <si>
    <t xml:space="preserve">REMUNERAÇÃO DO SISTEMA DE BILHETAGEM ELETRÔNICA </t>
  </si>
  <si>
    <t>REMUNERAÇÃO MENSAL DO SBE</t>
  </si>
  <si>
    <t>Remuneração do Sistema de Bilhetagem Eletrônica - SBE:</t>
  </si>
  <si>
    <t>KM RODADO EMPRESA                   (-BILHETAGEM)</t>
  </si>
  <si>
    <t>KM RODADO COM BILHETAGEM</t>
  </si>
  <si>
    <t xml:space="preserve">TARIFA TOTAL </t>
  </si>
  <si>
    <t>VALOR BILHETAGEM</t>
  </si>
  <si>
    <t>CÁLCULO LICITAÇÃO  NOV 2024</t>
  </si>
  <si>
    <t>VALOR ANUAL DO CONTRATO</t>
  </si>
  <si>
    <t>¹¹ A remuneração mensal do sistema de bilhetagem eletrônica  é de R$ 86.423,27.</t>
  </si>
  <si>
    <t>¹⁴ Para os encargos sociais foi adotado o percentual de 40,16%.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</si>
</sst>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R$&quot;\ #,##0.00;[Red]\-&quot;R$&quot;\ #,##0.00"/>
    <numFmt numFmtId="43" formatCode="_-* #,##0.00_-;\-* #,##0.00_-;_-* &quot;-&quot;??_-;_-@_-"/>
    <numFmt numFmtId="164" formatCode="0.0000000000"/>
    <numFmt numFmtId="165" formatCode="0.0000"/>
    <numFmt numFmtId="166" formatCode="0.000"/>
    <numFmt numFmtId="167" formatCode="0.00000"/>
    <numFmt numFmtId="168" formatCode="#,##0.000"/>
    <numFmt numFmtId="169" formatCode="_([$€-2]* #,##0.00_);_([$€-2]* \(#,##0.00\);_([$€-2]* &quot;-&quot;??_)"/>
    <numFmt numFmtId="170" formatCode="_(* #,##0.00_);_(* \(#,##0.00\);_(* &quot;-&quot;??_);_(@_)"/>
    <numFmt numFmtId="171" formatCode="&quot;R$&quot;\ #,##0.00"/>
    <numFmt numFmtId="172" formatCode="#,##0.0000"/>
    <numFmt numFmtId="173" formatCode="&quot;R$&quot;\ #,##0.00000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</font>
    <font>
      <b/>
      <sz val="20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8"/>
      <color theme="1"/>
      <name val="Arial Unicode M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sz val="13"/>
      <color theme="1"/>
      <name val="Calibri"/>
      <family val="2"/>
      <scheme val="minor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8"/>
      <name val="Times New Roman"/>
      <family val="1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22"/>
      <color indexed="8"/>
      <name val="Arial"/>
      <family val="2"/>
    </font>
    <font>
      <b/>
      <sz val="28"/>
      <color indexed="8"/>
      <name val="Arial"/>
      <family val="2"/>
    </font>
    <font>
      <b/>
      <sz val="48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36"/>
      <color indexed="8"/>
      <name val="Arial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/>
      <top/>
      <bottom style="thick">
        <color rgb="FFFF0000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ck">
        <color rgb="FFFF0000"/>
      </top>
      <bottom/>
      <diagonal/>
    </border>
    <border>
      <left/>
      <right/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</borders>
  <cellStyleXfs count="75">
    <xf numFmtId="0" fontId="0" fillId="0" borderId="0"/>
    <xf numFmtId="0" fontId="16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4" borderId="0" applyNumberFormat="0" applyBorder="0" applyAlignment="0" applyProtection="0"/>
    <xf numFmtId="0" fontId="22" fillId="16" borderId="46" applyNumberFormat="0" applyAlignment="0" applyProtection="0"/>
    <xf numFmtId="0" fontId="23" fillId="17" borderId="47" applyNumberFormat="0" applyAlignment="0" applyProtection="0"/>
    <xf numFmtId="0" fontId="24" fillId="0" borderId="48" applyNumberFormat="0" applyFill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5" fillId="7" borderId="46" applyNumberFormat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27" fillId="3" borderId="0" applyNumberFormat="0" applyBorder="0" applyAlignment="0" applyProtection="0"/>
    <xf numFmtId="0" fontId="28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23" borderId="49" applyNumberFormat="0" applyFont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0" fillId="16" borderId="50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51" applyNumberFormat="0" applyFill="0" applyAlignment="0" applyProtection="0"/>
    <xf numFmtId="0" fontId="34" fillId="0" borderId="52" applyNumberFormat="0" applyFill="0" applyAlignment="0" applyProtection="0"/>
    <xf numFmtId="0" fontId="35" fillId="0" borderId="53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54" applyNumberFormat="0" applyFill="0" applyAlignment="0" applyProtection="0"/>
    <xf numFmtId="43" fontId="1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62">
    <xf numFmtId="0" fontId="0" fillId="0" borderId="0" xfId="0"/>
    <xf numFmtId="0" fontId="3" fillId="0" borderId="0" xfId="0" applyFont="1"/>
    <xf numFmtId="0" fontId="0" fillId="0" borderId="0" xfId="0" applyAlignment="1">
      <alignment vertical="top" wrapText="1"/>
    </xf>
    <xf numFmtId="0" fontId="9" fillId="0" borderId="0" xfId="0" applyFont="1" applyAlignment="1">
      <alignment vertical="center"/>
    </xf>
    <xf numFmtId="0" fontId="0" fillId="0" borderId="12" xfId="0" applyBorder="1"/>
    <xf numFmtId="0" fontId="7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49" fontId="0" fillId="0" borderId="0" xfId="0" applyNumberFormat="1"/>
    <xf numFmtId="0" fontId="16" fillId="0" borderId="0" xfId="1"/>
    <xf numFmtId="0" fontId="0" fillId="0" borderId="0" xfId="0" applyAlignment="1">
      <alignment vertical="center"/>
    </xf>
    <xf numFmtId="2" fontId="39" fillId="0" borderId="17" xfId="0" applyNumberFormat="1" applyFont="1" applyBorder="1" applyAlignment="1">
      <alignment vertical="center"/>
    </xf>
    <xf numFmtId="2" fontId="39" fillId="0" borderId="0" xfId="0" applyNumberFormat="1" applyFont="1" applyAlignment="1">
      <alignment vertical="center"/>
    </xf>
    <xf numFmtId="0" fontId="0" fillId="0" borderId="17" xfId="0" applyBorder="1"/>
    <xf numFmtId="0" fontId="13" fillId="0" borderId="0" xfId="0" applyFont="1"/>
    <xf numFmtId="0" fontId="41" fillId="0" borderId="0" xfId="0" applyFont="1"/>
    <xf numFmtId="0" fontId="43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left"/>
    </xf>
    <xf numFmtId="3" fontId="45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42" fillId="0" borderId="0" xfId="0" applyFont="1" applyAlignment="1">
      <alignment horizontal="center"/>
    </xf>
    <xf numFmtId="0" fontId="42" fillId="0" borderId="16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0" fillId="0" borderId="21" xfId="0" applyBorder="1"/>
    <xf numFmtId="0" fontId="0" fillId="0" borderId="19" xfId="0" applyBorder="1"/>
    <xf numFmtId="0" fontId="0" fillId="0" borderId="11" xfId="0" applyBorder="1"/>
    <xf numFmtId="0" fontId="0" fillId="0" borderId="20" xfId="0" applyBorder="1"/>
    <xf numFmtId="4" fontId="0" fillId="0" borderId="0" xfId="0" applyNumberFormat="1"/>
    <xf numFmtId="4" fontId="0" fillId="0" borderId="4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0" xfId="0" applyFont="1"/>
    <xf numFmtId="0" fontId="49" fillId="0" borderId="0" xfId="0" applyFont="1"/>
    <xf numFmtId="49" fontId="48" fillId="0" borderId="0" xfId="0" applyNumberFormat="1" applyFont="1" applyAlignment="1">
      <alignment horizontal="left"/>
    </xf>
    <xf numFmtId="2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50" fillId="0" borderId="0" xfId="0" applyNumberFormat="1" applyFont="1"/>
    <xf numFmtId="0" fontId="49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vertical="center"/>
    </xf>
    <xf numFmtId="0" fontId="1" fillId="0" borderId="1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16" fillId="0" borderId="0" xfId="1" applyAlignment="1">
      <alignment vertical="center" wrapText="1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71" fontId="16" fillId="0" borderId="0" xfId="1" applyNumberFormat="1"/>
    <xf numFmtId="9" fontId="0" fillId="0" borderId="0" xfId="0" applyNumberFormat="1"/>
    <xf numFmtId="165" fontId="0" fillId="0" borderId="0" xfId="0" applyNumberFormat="1"/>
    <xf numFmtId="0" fontId="0" fillId="0" borderId="7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61" fillId="0" borderId="1" xfId="0" applyFont="1" applyBorder="1" applyAlignment="1">
      <alignment horizontal="center" vertical="center"/>
    </xf>
    <xf numFmtId="4" fontId="61" fillId="0" borderId="2" xfId="0" applyNumberFormat="1" applyFont="1" applyBorder="1" applyAlignment="1">
      <alignment horizontal="center" vertical="center"/>
    </xf>
    <xf numFmtId="3" fontId="61" fillId="0" borderId="4" xfId="0" applyNumberFormat="1" applyFont="1" applyBorder="1" applyAlignment="1">
      <alignment horizontal="center" vertical="center"/>
    </xf>
    <xf numFmtId="4" fontId="61" fillId="0" borderId="5" xfId="0" applyNumberFormat="1" applyFont="1" applyBorder="1" applyAlignment="1">
      <alignment horizontal="center" vertical="center"/>
    </xf>
    <xf numFmtId="3" fontId="61" fillId="0" borderId="7" xfId="0" applyNumberFormat="1" applyFont="1" applyBorder="1" applyAlignment="1">
      <alignment horizontal="center" vertical="center"/>
    </xf>
    <xf numFmtId="4" fontId="61" fillId="0" borderId="70" xfId="0" applyNumberFormat="1" applyFont="1" applyBorder="1" applyAlignment="1">
      <alignment horizontal="center" vertical="center"/>
    </xf>
    <xf numFmtId="3" fontId="61" fillId="0" borderId="71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left" vertical="center"/>
    </xf>
    <xf numFmtId="4" fontId="0" fillId="0" borderId="71" xfId="0" applyNumberForma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45" fillId="0" borderId="56" xfId="0" applyFont="1" applyBorder="1" applyAlignment="1">
      <alignment horizontal="left"/>
    </xf>
    <xf numFmtId="4" fontId="45" fillId="0" borderId="56" xfId="0" applyNumberFormat="1" applyFont="1" applyBorder="1" applyAlignment="1">
      <alignment horizontal="right"/>
    </xf>
    <xf numFmtId="2" fontId="0" fillId="0" borderId="0" xfId="0" applyNumberFormat="1"/>
    <xf numFmtId="4" fontId="45" fillId="0" borderId="56" xfId="0" applyNumberFormat="1" applyFont="1" applyBorder="1"/>
    <xf numFmtId="0" fontId="45" fillId="0" borderId="56" xfId="0" applyFont="1" applyBorder="1"/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/>
    </xf>
    <xf numFmtId="49" fontId="3" fillId="0" borderId="7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3" fillId="0" borderId="7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3" fillId="0" borderId="7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0" fontId="3" fillId="0" borderId="23" xfId="0" applyFont="1" applyBorder="1"/>
    <xf numFmtId="49" fontId="3" fillId="0" borderId="23" xfId="0" applyNumberFormat="1" applyFont="1" applyBorder="1"/>
    <xf numFmtId="49" fontId="48" fillId="0" borderId="35" xfId="0" applyNumberFormat="1" applyFont="1" applyBorder="1" applyAlignment="1">
      <alignment horizontal="left"/>
    </xf>
    <xf numFmtId="49" fontId="48" fillId="0" borderId="36" xfId="0" applyNumberFormat="1" applyFont="1" applyBorder="1" applyAlignment="1">
      <alignment horizontal="left"/>
    </xf>
    <xf numFmtId="0" fontId="3" fillId="0" borderId="3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28" xfId="0" applyFont="1" applyBorder="1"/>
    <xf numFmtId="2" fontId="3" fillId="0" borderId="0" xfId="0" applyNumberFormat="1" applyFont="1"/>
    <xf numFmtId="1" fontId="49" fillId="0" borderId="1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65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6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4" fontId="61" fillId="0" borderId="68" xfId="0" applyNumberFormat="1" applyFont="1" applyBorder="1" applyAlignment="1">
      <alignment horizontal="center" vertical="center"/>
    </xf>
    <xf numFmtId="3" fontId="61" fillId="0" borderId="4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58" fillId="0" borderId="73" xfId="0" applyNumberFormat="1" applyFont="1" applyBorder="1" applyAlignment="1">
      <alignment horizontal="center"/>
    </xf>
    <xf numFmtId="49" fontId="58" fillId="0" borderId="75" xfId="0" applyNumberFormat="1" applyFont="1" applyBorder="1" applyAlignment="1">
      <alignment horizontal="center"/>
    </xf>
    <xf numFmtId="49" fontId="58" fillId="0" borderId="77" xfId="0" applyNumberFormat="1" applyFont="1" applyBorder="1" applyAlignment="1">
      <alignment horizontal="center"/>
    </xf>
    <xf numFmtId="0" fontId="55" fillId="0" borderId="0" xfId="0" applyFont="1" applyAlignment="1">
      <alignment horizontal="left" vertical="top" wrapText="1"/>
    </xf>
    <xf numFmtId="165" fontId="0" fillId="0" borderId="42" xfId="0" applyNumberFormat="1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165" fontId="0" fillId="0" borderId="75" xfId="0" applyNumberFormat="1" applyBorder="1" applyAlignment="1">
      <alignment horizontal="center" vertical="center"/>
    </xf>
    <xf numFmtId="1" fontId="0" fillId="0" borderId="0" xfId="0" applyNumberFormat="1"/>
    <xf numFmtId="0" fontId="45" fillId="0" borderId="80" xfId="0" applyFont="1" applyBorder="1" applyAlignment="1">
      <alignment horizontal="left"/>
    </xf>
    <xf numFmtId="4" fontId="45" fillId="0" borderId="80" xfId="0" applyNumberFormat="1" applyFont="1" applyBorder="1" applyAlignment="1">
      <alignment horizontal="right"/>
    </xf>
    <xf numFmtId="0" fontId="45" fillId="0" borderId="80" xfId="0" applyFont="1" applyBorder="1" applyAlignment="1">
      <alignment horizontal="right"/>
    </xf>
    <xf numFmtId="4" fontId="45" fillId="0" borderId="0" xfId="0" applyNumberFormat="1" applyFont="1" applyAlignment="1">
      <alignment horizontal="right"/>
    </xf>
    <xf numFmtId="0" fontId="38" fillId="0" borderId="13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right" vertical="center" wrapText="1"/>
    </xf>
    <xf numFmtId="0" fontId="38" fillId="0" borderId="17" xfId="1" applyFont="1" applyBorder="1" applyAlignment="1">
      <alignment horizontal="right" vertical="center" wrapText="1"/>
    </xf>
    <xf numFmtId="171" fontId="17" fillId="0" borderId="17" xfId="1" applyNumberFormat="1" applyFont="1" applyBorder="1" applyAlignment="1">
      <alignment horizontal="center" vertical="center"/>
    </xf>
    <xf numFmtId="0" fontId="17" fillId="0" borderId="17" xfId="1" applyFont="1" applyBorder="1" applyAlignment="1">
      <alignment vertical="center"/>
    </xf>
    <xf numFmtId="171" fontId="17" fillId="0" borderId="0" xfId="1" applyNumberFormat="1" applyFont="1" applyAlignment="1">
      <alignment horizontal="center" vertical="center"/>
    </xf>
    <xf numFmtId="3" fontId="16" fillId="0" borderId="0" xfId="1" applyNumberFormat="1"/>
    <xf numFmtId="0" fontId="38" fillId="0" borderId="19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12" xfId="1" applyFont="1" applyBorder="1" applyAlignment="1">
      <alignment horizontal="center" vertical="center" wrapText="1"/>
    </xf>
    <xf numFmtId="0" fontId="69" fillId="0" borderId="0" xfId="1" applyFont="1" applyAlignment="1">
      <alignment horizontal="left" vertical="center"/>
    </xf>
    <xf numFmtId="3" fontId="16" fillId="0" borderId="0" xfId="1" applyNumberFormat="1" applyAlignment="1">
      <alignment horizontal="center" vertical="center"/>
    </xf>
    <xf numFmtId="171" fontId="16" fillId="0" borderId="0" xfId="1" applyNumberFormat="1" applyAlignment="1">
      <alignment horizontal="center" vertical="center"/>
    </xf>
    <xf numFmtId="0" fontId="18" fillId="0" borderId="12" xfId="1" applyFont="1" applyBorder="1" applyAlignment="1">
      <alignment horizontal="right" vertical="center" wrapText="1"/>
    </xf>
    <xf numFmtId="0" fontId="18" fillId="0" borderId="0" xfId="1" applyFont="1" applyAlignment="1">
      <alignment horizontal="right" vertical="center" wrapText="1"/>
    </xf>
    <xf numFmtId="171" fontId="71" fillId="0" borderId="0" xfId="1" applyNumberFormat="1" applyFont="1" applyAlignment="1">
      <alignment horizontal="center" vertical="center"/>
    </xf>
    <xf numFmtId="8" fontId="69" fillId="0" borderId="0" xfId="1" applyNumberFormat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38" fillId="0" borderId="93" xfId="1" applyFont="1" applyBorder="1" applyAlignment="1">
      <alignment horizontal="center" vertical="center" wrapText="1"/>
    </xf>
    <xf numFmtId="0" fontId="38" fillId="0" borderId="96" xfId="1" applyFont="1" applyBorder="1" applyAlignment="1">
      <alignment horizontal="center" vertical="center" wrapText="1"/>
    </xf>
    <xf numFmtId="0" fontId="38" fillId="0" borderId="98" xfId="1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3" fontId="61" fillId="0" borderId="3" xfId="0" applyNumberFormat="1" applyFont="1" applyBorder="1" applyAlignment="1">
      <alignment horizontal="center" vertical="center"/>
    </xf>
    <xf numFmtId="4" fontId="61" fillId="0" borderId="4" xfId="0" applyNumberFormat="1" applyFont="1" applyBorder="1" applyAlignment="1">
      <alignment horizontal="center" vertical="center"/>
    </xf>
    <xf numFmtId="3" fontId="61" fillId="0" borderId="6" xfId="0" applyNumberFormat="1" applyFont="1" applyBorder="1" applyAlignment="1">
      <alignment horizontal="center" vertical="center"/>
    </xf>
    <xf numFmtId="4" fontId="61" fillId="0" borderId="7" xfId="0" applyNumberFormat="1" applyFont="1" applyBorder="1" applyAlignment="1">
      <alignment horizontal="center" vertical="center"/>
    </xf>
    <xf numFmtId="3" fontId="61" fillId="0" borderId="9" xfId="0" applyNumberFormat="1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67" fillId="0" borderId="0" xfId="0" applyFont="1" applyAlignment="1">
      <alignment horizontal="right" vertical="top" wrapText="1"/>
    </xf>
    <xf numFmtId="4" fontId="66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3" fontId="69" fillId="0" borderId="1" xfId="1" applyNumberFormat="1" applyFont="1" applyBorder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2" fillId="0" borderId="73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75" xfId="0" applyFont="1" applyBorder="1" applyAlignment="1">
      <alignment horizontal="left" vertical="center"/>
    </xf>
    <xf numFmtId="0" fontId="2" fillId="0" borderId="77" xfId="0" applyFont="1" applyBorder="1" applyAlignment="1">
      <alignment vertical="center"/>
    </xf>
    <xf numFmtId="0" fontId="2" fillId="0" borderId="75" xfId="0" applyFont="1" applyBorder="1" applyAlignment="1">
      <alignment vertical="center" wrapText="1"/>
    </xf>
    <xf numFmtId="0" fontId="63" fillId="0" borderId="2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1" fontId="63" fillId="0" borderId="5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17" fontId="0" fillId="0" borderId="73" xfId="0" applyNumberFormat="1" applyBorder="1"/>
    <xf numFmtId="0" fontId="0" fillId="0" borderId="75" xfId="0" applyBorder="1"/>
    <xf numFmtId="0" fontId="0" fillId="0" borderId="77" xfId="0" applyBorder="1"/>
    <xf numFmtId="0" fontId="0" fillId="0" borderId="73" xfId="0" applyBorder="1"/>
    <xf numFmtId="0" fontId="6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right"/>
    </xf>
    <xf numFmtId="0" fontId="43" fillId="0" borderId="0" xfId="0" applyFont="1" applyAlignment="1">
      <alignment horizontal="right"/>
    </xf>
    <xf numFmtId="4" fontId="43" fillId="0" borderId="0" xfId="0" applyNumberFormat="1" applyFont="1" applyAlignment="1">
      <alignment horizontal="center"/>
    </xf>
    <xf numFmtId="0" fontId="17" fillId="0" borderId="83" xfId="1" applyFont="1" applyBorder="1" applyAlignment="1">
      <alignment horizontal="center" vertical="center" wrapText="1"/>
    </xf>
    <xf numFmtId="3" fontId="69" fillId="0" borderId="87" xfId="1" applyNumberFormat="1" applyFont="1" applyBorder="1" applyAlignment="1">
      <alignment horizontal="center" vertical="center"/>
    </xf>
    <xf numFmtId="3" fontId="16" fillId="0" borderId="1" xfId="1" applyNumberFormat="1" applyBorder="1" applyAlignment="1">
      <alignment horizontal="center" vertical="center"/>
    </xf>
    <xf numFmtId="3" fontId="69" fillId="0" borderId="85" xfId="1" applyNumberFormat="1" applyFont="1" applyBorder="1" applyAlignment="1">
      <alignment horizontal="center" vertical="center"/>
    </xf>
    <xf numFmtId="3" fontId="16" fillId="0" borderId="85" xfId="1" applyNumberFormat="1" applyBorder="1" applyAlignment="1">
      <alignment horizontal="center" vertical="center"/>
    </xf>
    <xf numFmtId="3" fontId="16" fillId="0" borderId="87" xfId="1" applyNumberFormat="1" applyBorder="1" applyAlignment="1">
      <alignment horizontal="center" vertical="center"/>
    </xf>
    <xf numFmtId="3" fontId="16" fillId="0" borderId="88" xfId="1" applyNumberFormat="1" applyBorder="1" applyAlignment="1">
      <alignment horizontal="center" vertical="center"/>
    </xf>
    <xf numFmtId="171" fontId="74" fillId="0" borderId="0" xfId="1" applyNumberFormat="1" applyFont="1"/>
    <xf numFmtId="1" fontId="0" fillId="0" borderId="2" xfId="0" applyNumberFormat="1" applyBorder="1" applyAlignment="1">
      <alignment horizontal="center" vertical="center"/>
    </xf>
    <xf numFmtId="171" fontId="74" fillId="0" borderId="0" xfId="1" applyNumberFormat="1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61" fillId="0" borderId="8" xfId="0" applyNumberFormat="1" applyFont="1" applyBorder="1" applyAlignment="1">
      <alignment horizontal="center" vertical="center"/>
    </xf>
    <xf numFmtId="3" fontId="61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7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165" fontId="0" fillId="0" borderId="77" xfId="0" applyNumberFormat="1" applyBorder="1" applyAlignment="1">
      <alignment horizontal="center" vertical="center"/>
    </xf>
    <xf numFmtId="165" fontId="75" fillId="0" borderId="1" xfId="0" applyNumberFormat="1" applyFont="1" applyBorder="1" applyAlignment="1">
      <alignment horizontal="center" vertical="center"/>
    </xf>
    <xf numFmtId="4" fontId="65" fillId="0" borderId="2" xfId="0" applyNumberFormat="1" applyFont="1" applyBorder="1" applyAlignment="1">
      <alignment horizontal="center" vertical="center"/>
    </xf>
    <xf numFmtId="3" fontId="65" fillId="0" borderId="4" xfId="0" applyNumberFormat="1" applyFont="1" applyBorder="1" applyAlignment="1">
      <alignment horizontal="center" vertical="center"/>
    </xf>
    <xf numFmtId="4" fontId="65" fillId="0" borderId="68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4" fontId="65" fillId="0" borderId="5" xfId="0" applyNumberFormat="1" applyFont="1" applyBorder="1" applyAlignment="1">
      <alignment horizontal="center" vertical="center"/>
    </xf>
    <xf numFmtId="3" fontId="65" fillId="0" borderId="7" xfId="0" applyNumberFormat="1" applyFont="1" applyBorder="1" applyAlignment="1">
      <alignment horizontal="center" vertical="center"/>
    </xf>
    <xf numFmtId="4" fontId="65" fillId="0" borderId="70" xfId="0" applyNumberFormat="1" applyFont="1" applyBorder="1" applyAlignment="1">
      <alignment horizontal="center" vertical="center"/>
    </xf>
    <xf numFmtId="3" fontId="65" fillId="0" borderId="71" xfId="0" applyNumberFormat="1" applyFont="1" applyBorder="1" applyAlignment="1">
      <alignment horizontal="center" vertical="center"/>
    </xf>
    <xf numFmtId="4" fontId="65" fillId="0" borderId="8" xfId="0" applyNumberFormat="1" applyFont="1" applyBorder="1" applyAlignment="1">
      <alignment horizontal="center" vertical="center"/>
    </xf>
    <xf numFmtId="3" fontId="65" fillId="0" borderId="10" xfId="0" applyNumberFormat="1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4" fontId="61" fillId="0" borderId="2" xfId="0" applyNumberFormat="1" applyFont="1" applyBorder="1" applyAlignment="1">
      <alignment horizontal="center" vertical="center"/>
    </xf>
    <xf numFmtId="14" fontId="61" fillId="0" borderId="5" xfId="0" applyNumberFormat="1" applyFont="1" applyBorder="1" applyAlignment="1">
      <alignment horizontal="center" vertical="center"/>
    </xf>
    <xf numFmtId="3" fontId="61" fillId="0" borderId="0" xfId="0" applyNumberFormat="1" applyFont="1" applyAlignment="1">
      <alignment horizontal="center" vertical="center"/>
    </xf>
    <xf numFmtId="4" fontId="61" fillId="0" borderId="21" xfId="0" applyNumberFormat="1" applyFont="1" applyBorder="1" applyAlignment="1">
      <alignment horizontal="center" vertical="center"/>
    </xf>
    <xf numFmtId="14" fontId="61" fillId="0" borderId="8" xfId="0" applyNumberFormat="1" applyFont="1" applyBorder="1" applyAlignment="1">
      <alignment horizontal="center" vertical="center"/>
    </xf>
    <xf numFmtId="165" fontId="65" fillId="0" borderId="9" xfId="0" applyNumberFormat="1" applyFont="1" applyBorder="1" applyAlignment="1">
      <alignment horizontal="center" vertical="center"/>
    </xf>
    <xf numFmtId="0" fontId="78" fillId="0" borderId="13" xfId="1" applyFont="1" applyBorder="1" applyAlignment="1">
      <alignment horizontal="center" vertical="center" wrapText="1"/>
    </xf>
    <xf numFmtId="3" fontId="79" fillId="0" borderId="1" xfId="1" applyNumberFormat="1" applyFont="1" applyBorder="1" applyAlignment="1">
      <alignment horizontal="center" vertical="center"/>
    </xf>
    <xf numFmtId="0" fontId="78" fillId="0" borderId="16" xfId="1" applyFont="1" applyBorder="1" applyAlignment="1">
      <alignment horizontal="center" vertical="center" wrapText="1"/>
    </xf>
    <xf numFmtId="3" fontId="79" fillId="0" borderId="40" xfId="1" applyNumberFormat="1" applyFont="1" applyBorder="1" applyAlignment="1">
      <alignment horizontal="center" vertical="center"/>
    </xf>
    <xf numFmtId="3" fontId="26" fillId="0" borderId="40" xfId="1" applyNumberFormat="1" applyFont="1" applyBorder="1" applyAlignment="1">
      <alignment horizontal="center" vertical="center"/>
    </xf>
    <xf numFmtId="0" fontId="78" fillId="0" borderId="12" xfId="1" applyFont="1" applyBorder="1" applyAlignment="1">
      <alignment horizontal="center" vertical="center" wrapText="1"/>
    </xf>
    <xf numFmtId="0" fontId="79" fillId="0" borderId="0" xfId="1" applyFont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171" fontId="26" fillId="0" borderId="0" xfId="1" applyNumberFormat="1" applyFont="1" applyAlignment="1">
      <alignment horizontal="center" vertical="center"/>
    </xf>
    <xf numFmtId="171" fontId="81" fillId="0" borderId="0" xfId="1" applyNumberFormat="1" applyFont="1" applyAlignment="1">
      <alignment horizontal="center" vertical="center"/>
    </xf>
    <xf numFmtId="0" fontId="78" fillId="0" borderId="19" xfId="1" applyFont="1" applyBorder="1" applyAlignment="1">
      <alignment horizontal="center" vertical="center" wrapText="1"/>
    </xf>
    <xf numFmtId="8" fontId="79" fillId="0" borderId="0" xfId="1" applyNumberFormat="1" applyFont="1" applyAlignment="1">
      <alignment horizontal="left" vertical="center"/>
    </xf>
    <xf numFmtId="3" fontId="79" fillId="0" borderId="87" xfId="1" applyNumberFormat="1" applyFont="1" applyBorder="1" applyAlignment="1">
      <alignment horizontal="center" vertical="center"/>
    </xf>
    <xf numFmtId="171" fontId="0" fillId="0" borderId="0" xfId="0" applyNumberFormat="1"/>
    <xf numFmtId="173" fontId="0" fillId="0" borderId="0" xfId="0" applyNumberFormat="1"/>
    <xf numFmtId="2" fontId="0" fillId="0" borderId="0" xfId="0" applyNumberFormat="1" applyAlignment="1">
      <alignment horizont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" fontId="43" fillId="0" borderId="1" xfId="0" applyNumberFormat="1" applyFont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5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7" xfId="0" applyBorder="1" applyAlignment="1">
      <alignment horizontal="center"/>
    </xf>
    <xf numFmtId="0" fontId="43" fillId="0" borderId="1" xfId="0" applyFont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4" fontId="0" fillId="0" borderId="75" xfId="0" applyNumberFormat="1" applyBorder="1" applyAlignment="1">
      <alignment horizontal="center"/>
    </xf>
    <xf numFmtId="4" fontId="0" fillId="0" borderId="77" xfId="0" applyNumberFormat="1" applyBorder="1" applyAlignment="1">
      <alignment horizontal="center"/>
    </xf>
    <xf numFmtId="4" fontId="43" fillId="0" borderId="1" xfId="0" applyNumberFormat="1" applyFont="1" applyBorder="1" applyAlignment="1">
      <alignment horizontal="center"/>
    </xf>
    <xf numFmtId="4" fontId="72" fillId="0" borderId="16" xfId="0" applyNumberFormat="1" applyFont="1" applyBorder="1" applyAlignment="1">
      <alignment horizontal="center" vertical="center"/>
    </xf>
    <xf numFmtId="4" fontId="72" fillId="0" borderId="17" xfId="0" applyNumberFormat="1" applyFont="1" applyBorder="1" applyAlignment="1">
      <alignment horizontal="center" vertical="center"/>
    </xf>
    <xf numFmtId="4" fontId="72" fillId="0" borderId="18" xfId="0" applyNumberFormat="1" applyFont="1" applyBorder="1" applyAlignment="1">
      <alignment horizontal="center" vertical="center"/>
    </xf>
    <xf numFmtId="4" fontId="72" fillId="0" borderId="12" xfId="0" applyNumberFormat="1" applyFont="1" applyBorder="1" applyAlignment="1">
      <alignment horizontal="center" vertical="center"/>
    </xf>
    <xf numFmtId="4" fontId="72" fillId="0" borderId="0" xfId="0" applyNumberFormat="1" applyFont="1" applyAlignment="1">
      <alignment horizontal="center" vertical="center"/>
    </xf>
    <xf numFmtId="4" fontId="72" fillId="0" borderId="21" xfId="0" applyNumberFormat="1" applyFont="1" applyBorder="1" applyAlignment="1">
      <alignment horizontal="center" vertical="center"/>
    </xf>
    <xf numFmtId="4" fontId="72" fillId="0" borderId="19" xfId="0" applyNumberFormat="1" applyFont="1" applyBorder="1" applyAlignment="1">
      <alignment horizontal="center" vertical="center"/>
    </xf>
    <xf numFmtId="4" fontId="72" fillId="0" borderId="11" xfId="0" applyNumberFormat="1" applyFont="1" applyBorder="1" applyAlignment="1">
      <alignment horizontal="center" vertical="center"/>
    </xf>
    <xf numFmtId="4" fontId="72" fillId="0" borderId="20" xfId="0" applyNumberFormat="1" applyFont="1" applyBorder="1" applyAlignment="1">
      <alignment horizontal="center" vertical="center"/>
    </xf>
    <xf numFmtId="4" fontId="43" fillId="0" borderId="13" xfId="0" applyNumberFormat="1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5" xfId="0" applyNumberFormat="1" applyFont="1" applyBorder="1" applyAlignment="1">
      <alignment horizontal="center" vertical="center"/>
    </xf>
    <xf numFmtId="0" fontId="38" fillId="0" borderId="13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70" fillId="0" borderId="0" xfId="1" applyFont="1" applyAlignment="1">
      <alignment horizontal="center" vertical="center"/>
    </xf>
    <xf numFmtId="8" fontId="69" fillId="0" borderId="96" xfId="1" applyNumberFormat="1" applyFont="1" applyBorder="1" applyAlignment="1">
      <alignment horizontal="left" vertical="center"/>
    </xf>
    <xf numFmtId="0" fontId="69" fillId="0" borderId="14" xfId="1" applyFont="1" applyBorder="1" applyAlignment="1">
      <alignment horizontal="left" vertical="center"/>
    </xf>
    <xf numFmtId="0" fontId="69" fillId="0" borderId="15" xfId="1" applyFont="1" applyBorder="1" applyAlignment="1">
      <alignment horizontal="left" vertical="center"/>
    </xf>
    <xf numFmtId="171" fontId="16" fillId="0" borderId="14" xfId="1" applyNumberFormat="1" applyBorder="1" applyAlignment="1">
      <alignment horizontal="center" vertical="center"/>
    </xf>
    <xf numFmtId="0" fontId="38" fillId="0" borderId="1" xfId="1" applyFont="1" applyBorder="1" applyAlignment="1">
      <alignment horizontal="center" vertical="center" wrapText="1"/>
    </xf>
    <xf numFmtId="0" fontId="79" fillId="0" borderId="1" xfId="1" applyFont="1" applyBorder="1" applyAlignment="1">
      <alignment horizontal="center" vertical="center"/>
    </xf>
    <xf numFmtId="0" fontId="79" fillId="0" borderId="40" xfId="1" applyFont="1" applyBorder="1" applyAlignment="1">
      <alignment horizontal="center" vertical="center"/>
    </xf>
    <xf numFmtId="171" fontId="26" fillId="0" borderId="1" xfId="1" applyNumberFormat="1" applyFont="1" applyBorder="1" applyAlignment="1">
      <alignment horizontal="center" vertical="center"/>
    </xf>
    <xf numFmtId="0" fontId="78" fillId="0" borderId="1" xfId="1" applyFont="1" applyBorder="1" applyAlignment="1">
      <alignment horizontal="center" vertical="center" wrapText="1"/>
    </xf>
    <xf numFmtId="0" fontId="78" fillId="0" borderId="13" xfId="1" applyFont="1" applyBorder="1" applyAlignment="1">
      <alignment horizontal="center" vertical="center" wrapText="1"/>
    </xf>
    <xf numFmtId="0" fontId="78" fillId="0" borderId="14" xfId="1" applyFont="1" applyBorder="1" applyAlignment="1">
      <alignment horizontal="center" vertical="center" wrapText="1"/>
    </xf>
    <xf numFmtId="0" fontId="78" fillId="0" borderId="15" xfId="1" applyFont="1" applyBorder="1" applyAlignment="1">
      <alignment horizontal="center" vertical="center" wrapText="1"/>
    </xf>
    <xf numFmtId="0" fontId="68" fillId="0" borderId="81" xfId="1" applyFont="1" applyBorder="1" applyAlignment="1">
      <alignment horizontal="left" vertical="center" wrapText="1"/>
    </xf>
    <xf numFmtId="0" fontId="68" fillId="0" borderId="58" xfId="1" applyFont="1" applyBorder="1" applyAlignment="1">
      <alignment horizontal="left" vertical="center" wrapText="1"/>
    </xf>
    <xf numFmtId="171" fontId="80" fillId="0" borderId="1" xfId="1" applyNumberFormat="1" applyFont="1" applyBorder="1" applyAlignment="1">
      <alignment horizontal="center" vertical="center"/>
    </xf>
    <xf numFmtId="171" fontId="80" fillId="0" borderId="40" xfId="1" applyNumberFormat="1" applyFont="1" applyBorder="1" applyAlignment="1">
      <alignment horizontal="center" vertical="center"/>
    </xf>
    <xf numFmtId="0" fontId="80" fillId="0" borderId="81" xfId="1" applyFont="1" applyBorder="1" applyAlignment="1">
      <alignment horizontal="left" vertical="center" wrapText="1"/>
    </xf>
    <xf numFmtId="0" fontId="16" fillId="0" borderId="0" xfId="1" applyAlignment="1">
      <alignment horizontal="left" vertical="center" wrapText="1"/>
    </xf>
    <xf numFmtId="8" fontId="69" fillId="0" borderId="98" xfId="1" applyNumberFormat="1" applyFont="1" applyBorder="1" applyAlignment="1">
      <alignment horizontal="left" vertical="center"/>
    </xf>
    <xf numFmtId="0" fontId="69" fillId="0" borderId="99" xfId="1" applyFont="1" applyBorder="1" applyAlignment="1">
      <alignment horizontal="left" vertical="center"/>
    </xf>
    <xf numFmtId="0" fontId="69" fillId="0" borderId="102" xfId="1" applyFont="1" applyBorder="1" applyAlignment="1">
      <alignment horizontal="left" vertical="center"/>
    </xf>
    <xf numFmtId="171" fontId="71" fillId="0" borderId="83" xfId="1" applyNumberFormat="1" applyFont="1" applyBorder="1" applyAlignment="1">
      <alignment horizontal="center" vertical="center"/>
    </xf>
    <xf numFmtId="0" fontId="38" fillId="0" borderId="81" xfId="1" applyFont="1" applyBorder="1" applyAlignment="1">
      <alignment horizontal="left" vertical="center" wrapText="1"/>
    </xf>
    <xf numFmtId="0" fontId="38" fillId="0" borderId="94" xfId="1" applyFont="1" applyBorder="1" applyAlignment="1">
      <alignment horizontal="center" vertical="center" wrapText="1"/>
    </xf>
    <xf numFmtId="0" fontId="38" fillId="0" borderId="95" xfId="1" applyFont="1" applyBorder="1" applyAlignment="1">
      <alignment horizontal="center" vertical="center" wrapText="1"/>
    </xf>
    <xf numFmtId="171" fontId="17" fillId="0" borderId="16" xfId="1" applyNumberFormat="1" applyFont="1" applyBorder="1" applyAlignment="1">
      <alignment horizontal="center" vertical="center"/>
    </xf>
    <xf numFmtId="171" fontId="17" fillId="0" borderId="17" xfId="1" applyNumberFormat="1" applyFont="1" applyBorder="1" applyAlignment="1">
      <alignment horizontal="center" vertical="center"/>
    </xf>
    <xf numFmtId="171" fontId="17" fillId="0" borderId="91" xfId="1" applyNumberFormat="1" applyFont="1" applyBorder="1" applyAlignment="1">
      <alignment horizontal="center" vertical="center"/>
    </xf>
    <xf numFmtId="171" fontId="17" fillId="0" borderId="12" xfId="1" applyNumberFormat="1" applyFont="1" applyBorder="1" applyAlignment="1">
      <alignment horizontal="center" vertical="center"/>
    </xf>
    <xf numFmtId="171" fontId="17" fillId="0" borderId="0" xfId="1" applyNumberFormat="1" applyFont="1" applyAlignment="1">
      <alignment horizontal="center" vertical="center"/>
    </xf>
    <xf numFmtId="171" fontId="17" fillId="0" borderId="97" xfId="1" applyNumberFormat="1" applyFont="1" applyBorder="1" applyAlignment="1">
      <alignment horizontal="center" vertical="center"/>
    </xf>
    <xf numFmtId="171" fontId="17" fillId="0" borderId="90" xfId="1" applyNumberFormat="1" applyFont="1" applyBorder="1" applyAlignment="1">
      <alignment horizontal="center" vertical="center"/>
    </xf>
    <xf numFmtId="171" fontId="17" fillId="0" borderId="89" xfId="1" applyNumberFormat="1" applyFont="1" applyBorder="1" applyAlignment="1">
      <alignment horizontal="center" vertical="center"/>
    </xf>
    <xf numFmtId="171" fontId="17" fillId="0" borderId="92" xfId="1" applyNumberFormat="1" applyFont="1" applyBorder="1" applyAlignment="1">
      <alignment horizontal="center" vertical="center"/>
    </xf>
    <xf numFmtId="0" fontId="18" fillId="0" borderId="82" xfId="1" applyFont="1" applyBorder="1" applyAlignment="1">
      <alignment horizontal="right" vertical="center" wrapText="1"/>
    </xf>
    <xf numFmtId="0" fontId="18" fillId="0" borderId="83" xfId="1" applyFont="1" applyBorder="1" applyAlignment="1">
      <alignment horizontal="right" vertical="center" wrapText="1"/>
    </xf>
    <xf numFmtId="0" fontId="73" fillId="0" borderId="16" xfId="1" applyFont="1" applyBorder="1" applyAlignment="1">
      <alignment horizontal="right" vertical="center"/>
    </xf>
    <xf numFmtId="0" fontId="73" fillId="0" borderId="17" xfId="1" applyFont="1" applyBorder="1" applyAlignment="1">
      <alignment horizontal="right" vertical="center"/>
    </xf>
    <xf numFmtId="0" fontId="73" fillId="0" borderId="19" xfId="1" applyFont="1" applyBorder="1" applyAlignment="1">
      <alignment horizontal="right" vertical="center"/>
    </xf>
    <xf numFmtId="0" fontId="73" fillId="0" borderId="11" xfId="1" applyFont="1" applyBorder="1" applyAlignment="1">
      <alignment horizontal="right" vertical="center"/>
    </xf>
    <xf numFmtId="171" fontId="74" fillId="0" borderId="16" xfId="1" applyNumberFormat="1" applyFont="1" applyBorder="1" applyAlignment="1">
      <alignment horizontal="center"/>
    </xf>
    <xf numFmtId="171" fontId="74" fillId="0" borderId="17" xfId="1" applyNumberFormat="1" applyFont="1" applyBorder="1" applyAlignment="1">
      <alignment horizontal="center"/>
    </xf>
    <xf numFmtId="171" fontId="74" fillId="0" borderId="18" xfId="1" applyNumberFormat="1" applyFont="1" applyBorder="1" applyAlignment="1">
      <alignment horizontal="center"/>
    </xf>
    <xf numFmtId="171" fontId="74" fillId="0" borderId="12" xfId="1" applyNumberFormat="1" applyFont="1" applyBorder="1" applyAlignment="1">
      <alignment horizontal="center"/>
    </xf>
    <xf numFmtId="171" fontId="74" fillId="0" borderId="0" xfId="1" applyNumberFormat="1" applyFont="1" applyAlignment="1">
      <alignment horizontal="center"/>
    </xf>
    <xf numFmtId="171" fontId="74" fillId="0" borderId="21" xfId="1" applyNumberFormat="1" applyFont="1" applyBorder="1" applyAlignment="1">
      <alignment horizontal="center"/>
    </xf>
    <xf numFmtId="171" fontId="74" fillId="0" borderId="19" xfId="1" applyNumberFormat="1" applyFont="1" applyBorder="1" applyAlignment="1">
      <alignment horizontal="center"/>
    </xf>
    <xf numFmtId="171" fontId="74" fillId="0" borderId="11" xfId="1" applyNumberFormat="1" applyFont="1" applyBorder="1" applyAlignment="1">
      <alignment horizontal="center"/>
    </xf>
    <xf numFmtId="171" fontId="74" fillId="0" borderId="20" xfId="1" applyNumberFormat="1" applyFont="1" applyBorder="1" applyAlignment="1">
      <alignment horizontal="center"/>
    </xf>
    <xf numFmtId="0" fontId="38" fillId="0" borderId="93" xfId="1" applyFont="1" applyBorder="1" applyAlignment="1">
      <alignment horizontal="center" vertical="center" wrapText="1"/>
    </xf>
    <xf numFmtId="0" fontId="38" fillId="0" borderId="101" xfId="1" applyFont="1" applyBorder="1" applyAlignment="1">
      <alignment horizontal="center" vertical="center" wrapText="1"/>
    </xf>
    <xf numFmtId="171" fontId="68" fillId="0" borderId="0" xfId="1" applyNumberFormat="1" applyFont="1" applyAlignment="1">
      <alignment horizontal="center"/>
    </xf>
    <xf numFmtId="3" fontId="69" fillId="0" borderId="40" xfId="1" applyNumberFormat="1" applyFont="1" applyBorder="1" applyAlignment="1">
      <alignment horizontal="center" vertical="center"/>
    </xf>
    <xf numFmtId="3" fontId="69" fillId="0" borderId="103" xfId="1" applyNumberFormat="1" applyFont="1" applyBorder="1" applyAlignment="1">
      <alignment horizontal="center" vertical="center"/>
    </xf>
    <xf numFmtId="171" fontId="68" fillId="0" borderId="16" xfId="1" applyNumberFormat="1" applyFont="1" applyBorder="1" applyAlignment="1">
      <alignment horizontal="center" vertical="center"/>
    </xf>
    <xf numFmtId="171" fontId="68" fillId="0" borderId="17" xfId="1" applyNumberFormat="1" applyFont="1" applyBorder="1" applyAlignment="1">
      <alignment horizontal="center" vertical="center"/>
    </xf>
    <xf numFmtId="171" fontId="68" fillId="0" borderId="91" xfId="1" applyNumberFormat="1" applyFont="1" applyBorder="1" applyAlignment="1">
      <alignment horizontal="center" vertical="center"/>
    </xf>
    <xf numFmtId="171" fontId="68" fillId="0" borderId="12" xfId="1" applyNumberFormat="1" applyFont="1" applyBorder="1" applyAlignment="1">
      <alignment horizontal="center" vertical="center"/>
    </xf>
    <xf numFmtId="171" fontId="68" fillId="0" borderId="0" xfId="1" applyNumberFormat="1" applyFont="1" applyAlignment="1">
      <alignment horizontal="center" vertical="center"/>
    </xf>
    <xf numFmtId="171" fontId="68" fillId="0" borderId="97" xfId="1" applyNumberFormat="1" applyFont="1" applyBorder="1" applyAlignment="1">
      <alignment horizontal="center" vertical="center"/>
    </xf>
    <xf numFmtId="171" fontId="80" fillId="0" borderId="85" xfId="1" applyNumberFormat="1" applyFont="1" applyBorder="1" applyAlignment="1">
      <alignment horizontal="center" vertical="center"/>
    </xf>
    <xf numFmtId="171" fontId="80" fillId="0" borderId="87" xfId="1" applyNumberFormat="1" applyFont="1" applyBorder="1" applyAlignment="1">
      <alignment horizontal="center" vertical="center"/>
    </xf>
    <xf numFmtId="171" fontId="80" fillId="0" borderId="88" xfId="1" applyNumberFormat="1" applyFont="1" applyBorder="1" applyAlignment="1">
      <alignment horizontal="center" vertical="center"/>
    </xf>
    <xf numFmtId="8" fontId="79" fillId="0" borderId="84" xfId="1" applyNumberFormat="1" applyFont="1" applyBorder="1" applyAlignment="1">
      <alignment horizontal="center" vertical="center"/>
    </xf>
    <xf numFmtId="8" fontId="79" fillId="0" borderId="86" xfId="1" applyNumberFormat="1" applyFont="1" applyBorder="1" applyAlignment="1">
      <alignment horizontal="center" vertical="center"/>
    </xf>
    <xf numFmtId="0" fontId="79" fillId="0" borderId="87" xfId="1" applyFont="1" applyBorder="1" applyAlignment="1">
      <alignment horizontal="center" vertical="center"/>
    </xf>
    <xf numFmtId="3" fontId="79" fillId="0" borderId="40" xfId="1" applyNumberFormat="1" applyFont="1" applyBorder="1" applyAlignment="1">
      <alignment horizontal="center" vertical="center"/>
    </xf>
    <xf numFmtId="3" fontId="79" fillId="0" borderId="103" xfId="1" applyNumberFormat="1" applyFont="1" applyBorder="1" applyAlignment="1">
      <alignment horizontal="center" vertical="center"/>
    </xf>
    <xf numFmtId="171" fontId="80" fillId="0" borderId="16" xfId="1" applyNumberFormat="1" applyFont="1" applyBorder="1" applyAlignment="1">
      <alignment horizontal="center" vertical="center"/>
    </xf>
    <xf numFmtId="171" fontId="80" fillId="0" borderId="17" xfId="1" applyNumberFormat="1" applyFont="1" applyBorder="1" applyAlignment="1">
      <alignment horizontal="center" vertical="center"/>
    </xf>
    <xf numFmtId="171" fontId="80" fillId="0" borderId="91" xfId="1" applyNumberFormat="1" applyFont="1" applyBorder="1" applyAlignment="1">
      <alignment horizontal="center" vertical="center"/>
    </xf>
    <xf numFmtId="171" fontId="80" fillId="0" borderId="12" xfId="1" applyNumberFormat="1" applyFont="1" applyBorder="1" applyAlignment="1">
      <alignment horizontal="center" vertical="center"/>
    </xf>
    <xf numFmtId="171" fontId="80" fillId="0" borderId="0" xfId="1" applyNumberFormat="1" applyFont="1" applyAlignment="1">
      <alignment horizontal="center" vertical="center"/>
    </xf>
    <xf numFmtId="171" fontId="80" fillId="0" borderId="97" xfId="1" applyNumberFormat="1" applyFont="1" applyBorder="1" applyAlignment="1">
      <alignment horizontal="center" vertical="center"/>
    </xf>
    <xf numFmtId="8" fontId="79" fillId="0" borderId="104" xfId="1" applyNumberFormat="1" applyFont="1" applyBorder="1" applyAlignment="1">
      <alignment horizontal="center" vertical="center"/>
    </xf>
    <xf numFmtId="8" fontId="79" fillId="0" borderId="17" xfId="1" applyNumberFormat="1" applyFont="1" applyBorder="1" applyAlignment="1">
      <alignment horizontal="center" vertical="center"/>
    </xf>
    <xf numFmtId="8" fontId="79" fillId="0" borderId="18" xfId="1" applyNumberFormat="1" applyFont="1" applyBorder="1" applyAlignment="1">
      <alignment horizontal="center" vertical="center"/>
    </xf>
    <xf numFmtId="8" fontId="79" fillId="0" borderId="105" xfId="1" applyNumberFormat="1" applyFont="1" applyBorder="1" applyAlignment="1">
      <alignment horizontal="center" vertical="center"/>
    </xf>
    <xf numFmtId="8" fontId="79" fillId="0" borderId="89" xfId="1" applyNumberFormat="1" applyFont="1" applyBorder="1" applyAlignment="1">
      <alignment horizontal="center" vertical="center"/>
    </xf>
    <xf numFmtId="8" fontId="79" fillId="0" borderId="106" xfId="1" applyNumberFormat="1" applyFont="1" applyBorder="1" applyAlignment="1">
      <alignment horizontal="center" vertical="center"/>
    </xf>
    <xf numFmtId="0" fontId="16" fillId="0" borderId="0" xfId="1" applyAlignment="1">
      <alignment horizontal="left"/>
    </xf>
    <xf numFmtId="0" fontId="68" fillId="0" borderId="40" xfId="1" applyFont="1" applyBorder="1" applyAlignment="1">
      <alignment horizontal="right"/>
    </xf>
    <xf numFmtId="0" fontId="68" fillId="0" borderId="42" xfId="1" applyFont="1" applyBorder="1" applyAlignment="1">
      <alignment horizontal="right"/>
    </xf>
    <xf numFmtId="3" fontId="18" fillId="0" borderId="40" xfId="1" applyNumberFormat="1" applyFont="1" applyBorder="1" applyAlignment="1">
      <alignment horizontal="center"/>
    </xf>
    <xf numFmtId="0" fontId="18" fillId="0" borderId="40" xfId="1" applyFont="1" applyBorder="1" applyAlignment="1">
      <alignment horizontal="center"/>
    </xf>
    <xf numFmtId="0" fontId="18" fillId="0" borderId="42" xfId="1" applyFont="1" applyBorder="1" applyAlignment="1">
      <alignment horizontal="center"/>
    </xf>
    <xf numFmtId="8" fontId="69" fillId="0" borderId="104" xfId="1" applyNumberFormat="1" applyFont="1" applyBorder="1" applyAlignment="1">
      <alignment horizontal="center" vertical="center"/>
    </xf>
    <xf numFmtId="8" fontId="69" fillId="0" borderId="17" xfId="1" applyNumberFormat="1" applyFont="1" applyBorder="1" applyAlignment="1">
      <alignment horizontal="center" vertical="center"/>
    </xf>
    <xf numFmtId="8" fontId="69" fillId="0" borderId="18" xfId="1" applyNumberFormat="1" applyFont="1" applyBorder="1" applyAlignment="1">
      <alignment horizontal="center" vertical="center"/>
    </xf>
    <xf numFmtId="8" fontId="69" fillId="0" borderId="105" xfId="1" applyNumberFormat="1" applyFont="1" applyBorder="1" applyAlignment="1">
      <alignment horizontal="center" vertical="center"/>
    </xf>
    <xf numFmtId="8" fontId="69" fillId="0" borderId="89" xfId="1" applyNumberFormat="1" applyFont="1" applyBorder="1" applyAlignment="1">
      <alignment horizontal="center" vertical="center"/>
    </xf>
    <xf numFmtId="8" fontId="69" fillId="0" borderId="106" xfId="1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48" fillId="0" borderId="35" xfId="0" applyNumberFormat="1" applyFont="1" applyBorder="1" applyAlignment="1">
      <alignment horizontal="center"/>
    </xf>
    <xf numFmtId="2" fontId="48" fillId="0" borderId="39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left"/>
    </xf>
    <xf numFmtId="49" fontId="3" fillId="0" borderId="23" xfId="0" applyNumberFormat="1" applyFont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51" fillId="0" borderId="22" xfId="0" applyNumberFormat="1" applyFont="1" applyBorder="1" applyAlignment="1">
      <alignment horizontal="center"/>
    </xf>
    <xf numFmtId="2" fontId="51" fillId="0" borderId="26" xfId="0" applyNumberFormat="1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2" fontId="3" fillId="0" borderId="77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58" fillId="0" borderId="16" xfId="0" applyNumberFormat="1" applyFont="1" applyBorder="1" applyAlignment="1">
      <alignment horizontal="left" vertical="center" wrapText="1"/>
    </xf>
    <xf numFmtId="49" fontId="58" fillId="0" borderId="17" xfId="0" applyNumberFormat="1" applyFont="1" applyBorder="1" applyAlignment="1">
      <alignment horizontal="left" vertical="center" wrapText="1"/>
    </xf>
    <xf numFmtId="49" fontId="58" fillId="0" borderId="30" xfId="0" applyNumberFormat="1" applyFont="1" applyBorder="1" applyAlignment="1">
      <alignment horizontal="left" vertical="center" wrapText="1"/>
    </xf>
    <xf numFmtId="49" fontId="58" fillId="0" borderId="31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30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75" xfId="0" applyFont="1" applyBorder="1" applyAlignment="1">
      <alignment horizontal="center"/>
    </xf>
    <xf numFmtId="2" fontId="3" fillId="0" borderId="75" xfId="0" applyNumberFormat="1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3" fillId="0" borderId="13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2" fontId="3" fillId="0" borderId="73" xfId="0" applyNumberFormat="1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49" fontId="3" fillId="0" borderId="27" xfId="0" applyNumberFormat="1" applyFont="1" applyBorder="1" applyAlignment="1">
      <alignment horizontal="left"/>
    </xf>
    <xf numFmtId="49" fontId="3" fillId="0" borderId="28" xfId="0" applyNumberFormat="1" applyFont="1" applyBorder="1" applyAlignment="1">
      <alignment horizontal="left"/>
    </xf>
    <xf numFmtId="2" fontId="3" fillId="0" borderId="27" xfId="0" applyNumberFormat="1" applyFont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49" fontId="48" fillId="0" borderId="35" xfId="0" applyNumberFormat="1" applyFont="1" applyBorder="1" applyAlignment="1">
      <alignment horizontal="left"/>
    </xf>
    <xf numFmtId="49" fontId="48" fillId="0" borderId="36" xfId="0" applyNumberFormat="1" applyFont="1" applyBorder="1" applyAlignment="1">
      <alignment horizontal="left"/>
    </xf>
    <xf numFmtId="0" fontId="48" fillId="0" borderId="39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4" fontId="5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49" fontId="13" fillId="25" borderId="13" xfId="0" applyNumberFormat="1" applyFont="1" applyFill="1" applyBorder="1" applyAlignment="1">
      <alignment horizontal="center" vertical="center"/>
    </xf>
    <xf numFmtId="49" fontId="13" fillId="25" borderId="14" xfId="0" applyNumberFormat="1" applyFont="1" applyFill="1" applyBorder="1" applyAlignment="1">
      <alignment horizontal="center" vertical="center"/>
    </xf>
    <xf numFmtId="49" fontId="13" fillId="2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6" fillId="0" borderId="40" xfId="0" applyFont="1" applyBorder="1" applyAlignment="1">
      <alignment horizontal="center" vertical="center" wrapText="1"/>
    </xf>
    <xf numFmtId="0" fontId="76" fillId="0" borderId="41" xfId="0" applyFont="1" applyBorder="1" applyAlignment="1">
      <alignment horizontal="center" vertical="center" wrapText="1"/>
    </xf>
    <xf numFmtId="0" fontId="76" fillId="0" borderId="42" xfId="0" applyFont="1" applyBorder="1" applyAlignment="1">
      <alignment horizontal="center" vertical="center" wrapText="1"/>
    </xf>
    <xf numFmtId="165" fontId="76" fillId="0" borderId="4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5" fillId="0" borderId="1" xfId="0" applyFont="1" applyBorder="1" applyAlignment="1">
      <alignment horizontal="right" vertical="center"/>
    </xf>
    <xf numFmtId="172" fontId="4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56" fillId="0" borderId="1" xfId="0" applyFont="1" applyBorder="1" applyAlignment="1">
      <alignment horizontal="right" vertical="center"/>
    </xf>
    <xf numFmtId="0" fontId="56" fillId="0" borderId="40" xfId="0" applyFont="1" applyBorder="1" applyAlignment="1">
      <alignment horizontal="right" vertical="center" wrapText="1"/>
    </xf>
    <xf numFmtId="0" fontId="56" fillId="0" borderId="42" xfId="0" applyFont="1" applyBorder="1" applyAlignment="1">
      <alignment horizontal="right" vertical="center" wrapText="1"/>
    </xf>
    <xf numFmtId="4" fontId="43" fillId="0" borderId="40" xfId="0" applyNumberFormat="1" applyFont="1" applyBorder="1" applyAlignment="1">
      <alignment horizontal="center" vertical="center"/>
    </xf>
    <xf numFmtId="4" fontId="43" fillId="0" borderId="4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4" fontId="4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62" fillId="0" borderId="6" xfId="0" applyNumberFormat="1" applyFont="1" applyBorder="1" applyAlignment="1">
      <alignment horizontal="center" vertical="center"/>
    </xf>
    <xf numFmtId="165" fontId="62" fillId="0" borderId="7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3" fontId="62" fillId="0" borderId="14" xfId="0" applyNumberFormat="1" applyFont="1" applyBorder="1" applyAlignment="1">
      <alignment horizontal="center" vertical="center"/>
    </xf>
    <xf numFmtId="3" fontId="62" fillId="0" borderId="1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67" fillId="0" borderId="1" xfId="0" applyFont="1" applyBorder="1" applyAlignment="1">
      <alignment horizontal="right" vertical="top" wrapText="1"/>
    </xf>
    <xf numFmtId="4" fontId="66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168" fontId="4" fillId="0" borderId="33" xfId="0" applyNumberFormat="1" applyFont="1" applyBorder="1" applyAlignment="1">
      <alignment horizontal="center" vertical="center"/>
    </xf>
    <xf numFmtId="168" fontId="4" fillId="0" borderId="31" xfId="0" applyNumberFormat="1" applyFont="1" applyBorder="1" applyAlignment="1">
      <alignment horizontal="center" vertical="center"/>
    </xf>
    <xf numFmtId="168" fontId="4" fillId="0" borderId="34" xfId="0" applyNumberFormat="1" applyFont="1" applyBorder="1" applyAlignment="1">
      <alignment horizontal="center" vertical="center"/>
    </xf>
    <xf numFmtId="172" fontId="4" fillId="0" borderId="25" xfId="0" applyNumberFormat="1" applyFont="1" applyBorder="1" applyAlignment="1">
      <alignment horizontal="center" vertical="center"/>
    </xf>
    <xf numFmtId="172" fontId="4" fillId="0" borderId="23" xfId="0" applyNumberFormat="1" applyFont="1" applyBorder="1" applyAlignment="1">
      <alignment horizontal="center" vertical="center"/>
    </xf>
    <xf numFmtId="172" fontId="4" fillId="0" borderId="26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5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165" fontId="4" fillId="0" borderId="67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" fontId="4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167" fontId="4" fillId="0" borderId="9" xfId="0" applyNumberFormat="1" applyFont="1" applyBorder="1" applyAlignment="1">
      <alignment horizontal="center" vertical="center"/>
    </xf>
    <xf numFmtId="167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5" fillId="0" borderId="13" xfId="0" applyFont="1" applyBorder="1" applyAlignment="1">
      <alignment horizontal="left" vertical="top" wrapText="1"/>
    </xf>
    <xf numFmtId="0" fontId="55" fillId="0" borderId="14" xfId="0" applyFont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2" fontId="62" fillId="0" borderId="6" xfId="0" applyNumberFormat="1" applyFont="1" applyBorder="1" applyAlignment="1">
      <alignment horizontal="center" vertical="center"/>
    </xf>
    <xf numFmtId="2" fontId="62" fillId="0" borderId="7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" fontId="5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3" fontId="4" fillId="0" borderId="33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" fontId="55" fillId="0" borderId="6" xfId="0" applyNumberFormat="1" applyFont="1" applyBorder="1" applyAlignment="1">
      <alignment horizontal="center" vertical="center"/>
    </xf>
    <xf numFmtId="1" fontId="55" fillId="0" borderId="7" xfId="0" applyNumberFormat="1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39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53" fillId="0" borderId="13" xfId="0" applyFont="1" applyBorder="1" applyAlignment="1">
      <alignment horizontal="left" vertical="top" wrapText="1"/>
    </xf>
    <xf numFmtId="0" fontId="53" fillId="0" borderId="14" xfId="0" applyFont="1" applyBorder="1" applyAlignment="1">
      <alignment horizontal="left" vertical="top" wrapText="1"/>
    </xf>
    <xf numFmtId="0" fontId="53" fillId="0" borderId="15" xfId="0" applyFont="1" applyBorder="1" applyAlignment="1">
      <alignment horizontal="left" vertical="top" wrapText="1"/>
    </xf>
    <xf numFmtId="0" fontId="53" fillId="0" borderId="16" xfId="0" applyFont="1" applyBorder="1" applyAlignment="1">
      <alignment horizontal="left" vertical="top" wrapText="1"/>
    </xf>
    <xf numFmtId="0" fontId="53" fillId="0" borderId="17" xfId="0" applyFont="1" applyBorder="1" applyAlignment="1">
      <alignment horizontal="left" vertical="top" wrapText="1"/>
    </xf>
    <xf numFmtId="0" fontId="53" fillId="0" borderId="18" xfId="0" applyFont="1" applyBorder="1" applyAlignment="1">
      <alignment horizontal="left" vertical="top" wrapText="1"/>
    </xf>
    <xf numFmtId="0" fontId="53" fillId="0" borderId="19" xfId="0" applyFont="1" applyBorder="1" applyAlignment="1">
      <alignment horizontal="left" vertical="top" wrapText="1"/>
    </xf>
    <xf numFmtId="0" fontId="53" fillId="0" borderId="11" xfId="0" applyFont="1" applyBorder="1" applyAlignment="1">
      <alignment horizontal="left" vertical="top" wrapText="1"/>
    </xf>
    <xf numFmtId="0" fontId="53" fillId="0" borderId="20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164" fontId="0" fillId="0" borderId="6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4" fontId="59" fillId="0" borderId="3" xfId="0" applyNumberFormat="1" applyFont="1" applyBorder="1" applyAlignment="1">
      <alignment horizontal="center" vertical="center"/>
    </xf>
    <xf numFmtId="4" fontId="59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4" fontId="59" fillId="0" borderId="9" xfId="0" applyNumberFormat="1" applyFont="1" applyBorder="1" applyAlignment="1">
      <alignment horizontal="center" vertical="center"/>
    </xf>
    <xf numFmtId="4" fontId="59" fillId="0" borderId="10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right" vertical="center"/>
    </xf>
    <xf numFmtId="2" fontId="4" fillId="0" borderId="25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2" fillId="0" borderId="40" xfId="0" applyFont="1" applyBorder="1" applyAlignment="1">
      <alignment horizontal="right" vertical="center"/>
    </xf>
    <xf numFmtId="0" fontId="42" fillId="0" borderId="42" xfId="0" applyFont="1" applyBorder="1" applyAlignment="1">
      <alignment horizontal="right" vertical="center"/>
    </xf>
    <xf numFmtId="4" fontId="42" fillId="0" borderId="40" xfId="0" applyNumberFormat="1" applyFont="1" applyBorder="1" applyAlignment="1">
      <alignment horizontal="center" vertical="center"/>
    </xf>
    <xf numFmtId="0" fontId="42" fillId="0" borderId="40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0" fontId="13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40" fillId="0" borderId="16" xfId="0" applyNumberFormat="1" applyFont="1" applyBorder="1" applyAlignment="1">
      <alignment horizontal="center" vertical="center"/>
    </xf>
    <xf numFmtId="165" fontId="40" fillId="0" borderId="17" xfId="0" applyNumberFormat="1" applyFont="1" applyBorder="1" applyAlignment="1">
      <alignment horizontal="center" vertical="center"/>
    </xf>
    <xf numFmtId="165" fontId="40" fillId="0" borderId="18" xfId="0" applyNumberFormat="1" applyFont="1" applyBorder="1" applyAlignment="1">
      <alignment horizontal="center" vertical="center"/>
    </xf>
    <xf numFmtId="165" fontId="40" fillId="0" borderId="12" xfId="0" applyNumberFormat="1" applyFont="1" applyBorder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5" fontId="40" fillId="0" borderId="21" xfId="0" applyNumberFormat="1" applyFont="1" applyBorder="1" applyAlignment="1">
      <alignment horizontal="center" vertical="center"/>
    </xf>
    <xf numFmtId="165" fontId="40" fillId="0" borderId="19" xfId="0" applyNumberFormat="1" applyFont="1" applyBorder="1" applyAlignment="1">
      <alignment horizontal="center" vertical="center"/>
    </xf>
    <xf numFmtId="165" fontId="40" fillId="0" borderId="11" xfId="0" applyNumberFormat="1" applyFont="1" applyBorder="1" applyAlignment="1">
      <alignment horizontal="center" vertical="center"/>
    </xf>
    <xf numFmtId="165" fontId="40" fillId="0" borderId="2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2" fontId="7" fillId="0" borderId="9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" fontId="7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14" xfId="0" applyFont="1" applyBorder="1" applyAlignment="1">
      <alignment horizontal="right"/>
    </xf>
    <xf numFmtId="4" fontId="44" fillId="0" borderId="14" xfId="0" applyNumberFormat="1" applyFont="1" applyBorder="1" applyAlignment="1">
      <alignment horizontal="center"/>
    </xf>
    <xf numFmtId="0" fontId="44" fillId="0" borderId="55" xfId="0" applyFont="1" applyBorder="1" applyAlignment="1">
      <alignment horizontal="left"/>
    </xf>
    <xf numFmtId="0" fontId="0" fillId="0" borderId="0" xfId="0" applyAlignment="1">
      <alignment horizontal="center"/>
    </xf>
    <xf numFmtId="0" fontId="45" fillId="0" borderId="79" xfId="0" applyFont="1" applyBorder="1" applyAlignment="1">
      <alignment horizontal="left"/>
    </xf>
    <xf numFmtId="4" fontId="45" fillId="0" borderId="79" xfId="0" applyNumberFormat="1" applyFont="1" applyBorder="1" applyAlignment="1">
      <alignment horizontal="right"/>
    </xf>
    <xf numFmtId="0" fontId="45" fillId="0" borderId="79" xfId="0" applyFont="1" applyBorder="1" applyAlignment="1">
      <alignment horizontal="right"/>
    </xf>
    <xf numFmtId="4" fontId="45" fillId="0" borderId="14" xfId="0" applyNumberFormat="1" applyFont="1" applyBorder="1" applyAlignment="1">
      <alignment horizontal="right"/>
    </xf>
    <xf numFmtId="0" fontId="45" fillId="0" borderId="14" xfId="0" applyFont="1" applyBorder="1" applyAlignment="1">
      <alignment horizontal="right"/>
    </xf>
    <xf numFmtId="0" fontId="45" fillId="0" borderId="14" xfId="0" applyFont="1" applyBorder="1" applyAlignment="1">
      <alignment horizontal="left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0" fontId="45" fillId="0" borderId="11" xfId="0" applyFont="1" applyBorder="1" applyAlignment="1">
      <alignment horizontal="left"/>
    </xf>
    <xf numFmtId="0" fontId="44" fillId="0" borderId="14" xfId="0" applyFont="1" applyBorder="1" applyAlignment="1">
      <alignment horizontal="center"/>
    </xf>
    <xf numFmtId="0" fontId="13" fillId="0" borderId="55" xfId="0" applyFont="1" applyBorder="1" applyAlignment="1">
      <alignment horizontal="left"/>
    </xf>
    <xf numFmtId="0" fontId="45" fillId="0" borderId="56" xfId="0" applyFont="1" applyBorder="1" applyAlignment="1">
      <alignment horizontal="left"/>
    </xf>
    <xf numFmtId="4" fontId="45" fillId="0" borderId="56" xfId="0" applyNumberFormat="1" applyFont="1" applyBorder="1" applyAlignment="1">
      <alignment horizontal="right"/>
    </xf>
    <xf numFmtId="0" fontId="45" fillId="0" borderId="56" xfId="0" applyFont="1" applyBorder="1" applyAlignment="1">
      <alignment horizontal="right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0" borderId="57" xfId="0" applyFont="1" applyBorder="1" applyAlignment="1">
      <alignment horizontal="center"/>
    </xf>
    <xf numFmtId="3" fontId="45" fillId="0" borderId="56" xfId="0" applyNumberFormat="1" applyFont="1" applyBorder="1" applyAlignment="1">
      <alignment horizontal="right"/>
    </xf>
    <xf numFmtId="49" fontId="54" fillId="0" borderId="13" xfId="0" applyNumberFormat="1" applyFont="1" applyBorder="1" applyAlignment="1">
      <alignment horizontal="center"/>
    </xf>
    <xf numFmtId="49" fontId="54" fillId="0" borderId="14" xfId="0" applyNumberFormat="1" applyFont="1" applyBorder="1" applyAlignment="1">
      <alignment horizontal="center"/>
    </xf>
    <xf numFmtId="49" fontId="54" fillId="0" borderId="15" xfId="0" applyNumberFormat="1" applyFont="1" applyBorder="1" applyAlignment="1">
      <alignment horizontal="center"/>
    </xf>
    <xf numFmtId="4" fontId="45" fillId="0" borderId="11" xfId="0" applyNumberFormat="1" applyFont="1" applyBorder="1" applyAlignment="1">
      <alignment horizontal="right"/>
    </xf>
    <xf numFmtId="0" fontId="45" fillId="0" borderId="11" xfId="0" applyFont="1" applyBorder="1" applyAlignment="1">
      <alignment horizontal="right"/>
    </xf>
    <xf numFmtId="0" fontId="44" fillId="24" borderId="55" xfId="0" applyFont="1" applyFill="1" applyBorder="1" applyAlignment="1">
      <alignment horizontal="left"/>
    </xf>
    <xf numFmtId="0" fontId="45" fillId="24" borderId="14" xfId="0" applyFont="1" applyFill="1" applyBorder="1" applyAlignment="1">
      <alignment horizontal="left" vertical="center"/>
    </xf>
    <xf numFmtId="4" fontId="43" fillId="24" borderId="14" xfId="0" applyNumberFormat="1" applyFont="1" applyFill="1" applyBorder="1" applyAlignment="1">
      <alignment horizontal="center"/>
    </xf>
    <xf numFmtId="0" fontId="42" fillId="0" borderId="57" xfId="0" applyFont="1" applyBorder="1" applyAlignment="1">
      <alignment horizontal="left"/>
    </xf>
    <xf numFmtId="0" fontId="0" fillId="0" borderId="0" xfId="0" applyAlignment="1">
      <alignment horizontal="right"/>
    </xf>
    <xf numFmtId="0" fontId="42" fillId="0" borderId="5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58" xfId="0" applyFont="1" applyBorder="1" applyAlignment="1">
      <alignment horizontal="center"/>
    </xf>
    <xf numFmtId="0" fontId="46" fillId="0" borderId="59" xfId="0" applyFont="1" applyBorder="1" applyAlignment="1">
      <alignment horizontal="right" vertical="center"/>
    </xf>
    <xf numFmtId="0" fontId="46" fillId="0" borderId="60" xfId="0" applyFont="1" applyBorder="1" applyAlignment="1">
      <alignment horizontal="right" vertical="center"/>
    </xf>
    <xf numFmtId="0" fontId="46" fillId="0" borderId="62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46" fillId="0" borderId="64" xfId="0" applyFont="1" applyBorder="1" applyAlignment="1">
      <alignment horizontal="right" vertical="center"/>
    </xf>
    <xf numFmtId="0" fontId="46" fillId="0" borderId="65" xfId="0" applyFont="1" applyBorder="1" applyAlignment="1">
      <alignment horizontal="right" vertical="center"/>
    </xf>
    <xf numFmtId="2" fontId="47" fillId="0" borderId="60" xfId="0" applyNumberFormat="1" applyFont="1" applyBorder="1" applyAlignment="1">
      <alignment horizontal="center" vertical="center"/>
    </xf>
    <xf numFmtId="0" fontId="47" fillId="0" borderId="6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47" fillId="0" borderId="65" xfId="0" applyFont="1" applyBorder="1" applyAlignment="1">
      <alignment horizontal="center" vertical="center"/>
    </xf>
    <xf numFmtId="0" fontId="47" fillId="0" borderId="66" xfId="0" applyFont="1" applyBorder="1" applyAlignment="1">
      <alignment horizontal="center" vertical="center"/>
    </xf>
    <xf numFmtId="0" fontId="77" fillId="0" borderId="56" xfId="0" applyFont="1" applyBorder="1" applyAlignment="1">
      <alignment horizontal="left" vertical="center"/>
    </xf>
    <xf numFmtId="172" fontId="76" fillId="0" borderId="56" xfId="0" applyNumberFormat="1" applyFont="1" applyBorder="1" applyAlignment="1">
      <alignment horizontal="center" vertical="center"/>
    </xf>
  </cellXfs>
  <cellStyles count="75">
    <cellStyle name="20% - Ênfase1 2" xfId="2" xr:uid="{00000000-0005-0000-0000-000000000000}"/>
    <cellStyle name="20% - Ênfase2 2" xfId="3" xr:uid="{00000000-0005-0000-0000-000001000000}"/>
    <cellStyle name="20% - Ênfase3 2" xfId="4" xr:uid="{00000000-0005-0000-0000-000002000000}"/>
    <cellStyle name="20% - Ênfase4 2" xfId="5" xr:uid="{00000000-0005-0000-0000-000003000000}"/>
    <cellStyle name="20% - Ênfase5 2" xfId="6" xr:uid="{00000000-0005-0000-0000-000004000000}"/>
    <cellStyle name="20% - Ênfase6 2" xfId="7" xr:uid="{00000000-0005-0000-0000-000005000000}"/>
    <cellStyle name="40% - Ênfase1 2" xfId="8" xr:uid="{00000000-0005-0000-0000-000006000000}"/>
    <cellStyle name="40% - Ênfase2 2" xfId="9" xr:uid="{00000000-0005-0000-0000-000007000000}"/>
    <cellStyle name="40% - Ênfase3 2" xfId="10" xr:uid="{00000000-0005-0000-0000-000008000000}"/>
    <cellStyle name="40% - Ênfase4 2" xfId="11" xr:uid="{00000000-0005-0000-0000-000009000000}"/>
    <cellStyle name="40% - Ênfase5 2" xfId="12" xr:uid="{00000000-0005-0000-0000-00000A000000}"/>
    <cellStyle name="40% - Ênfase6 2" xfId="13" xr:uid="{00000000-0005-0000-0000-00000B000000}"/>
    <cellStyle name="60% - Ênfase1 2" xfId="14" xr:uid="{00000000-0005-0000-0000-00000C000000}"/>
    <cellStyle name="60% - Ênfase2 2" xfId="15" xr:uid="{00000000-0005-0000-0000-00000D000000}"/>
    <cellStyle name="60% - Ênfase3 2" xfId="16" xr:uid="{00000000-0005-0000-0000-00000E000000}"/>
    <cellStyle name="60% - Ênfase4 2" xfId="17" xr:uid="{00000000-0005-0000-0000-00000F000000}"/>
    <cellStyle name="60% - Ênfase5 2" xfId="18" xr:uid="{00000000-0005-0000-0000-000010000000}"/>
    <cellStyle name="60% - Ênfase6 2" xfId="19" xr:uid="{00000000-0005-0000-0000-000011000000}"/>
    <cellStyle name="Bom 2" xfId="20" xr:uid="{00000000-0005-0000-0000-000012000000}"/>
    <cellStyle name="Cálculo 2" xfId="21" xr:uid="{00000000-0005-0000-0000-000013000000}"/>
    <cellStyle name="Célula de Verificação 2" xfId="22" xr:uid="{00000000-0005-0000-0000-000014000000}"/>
    <cellStyle name="Célula Vinculada 2" xfId="23" xr:uid="{00000000-0005-0000-0000-000015000000}"/>
    <cellStyle name="Ênfase1 2" xfId="24" xr:uid="{00000000-0005-0000-0000-000016000000}"/>
    <cellStyle name="Ênfase2 2" xfId="25" xr:uid="{00000000-0005-0000-0000-000017000000}"/>
    <cellStyle name="Ênfase3 2" xfId="26" xr:uid="{00000000-0005-0000-0000-000018000000}"/>
    <cellStyle name="Ênfase4 2" xfId="27" xr:uid="{00000000-0005-0000-0000-000019000000}"/>
    <cellStyle name="Ênfase5 2" xfId="28" xr:uid="{00000000-0005-0000-0000-00001A000000}"/>
    <cellStyle name="Ênfase6 2" xfId="29" xr:uid="{00000000-0005-0000-0000-00001B000000}"/>
    <cellStyle name="Entrada 2" xfId="30" xr:uid="{00000000-0005-0000-0000-00001C000000}"/>
    <cellStyle name="Euro" xfId="31" xr:uid="{00000000-0005-0000-0000-00001D000000}"/>
    <cellStyle name="Euro 2" xfId="32" xr:uid="{00000000-0005-0000-0000-00001E000000}"/>
    <cellStyle name="Incorreto 2" xfId="33" xr:uid="{00000000-0005-0000-0000-00001F000000}"/>
    <cellStyle name="Neutra 2" xfId="34" xr:uid="{00000000-0005-0000-0000-000020000000}"/>
    <cellStyle name="Normal" xfId="0" builtinId="0"/>
    <cellStyle name="Normal 10" xfId="35" xr:uid="{00000000-0005-0000-0000-000022000000}"/>
    <cellStyle name="Normal 2" xfId="1" xr:uid="{00000000-0005-0000-0000-000023000000}"/>
    <cellStyle name="Normal 2 2" xfId="36" xr:uid="{00000000-0005-0000-0000-000024000000}"/>
    <cellStyle name="Normal 2 2 2" xfId="37" xr:uid="{00000000-0005-0000-0000-000025000000}"/>
    <cellStyle name="Normal 2 3" xfId="38" xr:uid="{00000000-0005-0000-0000-000026000000}"/>
    <cellStyle name="Normal 3" xfId="39" xr:uid="{00000000-0005-0000-0000-000027000000}"/>
    <cellStyle name="Normal 3 2" xfId="40" xr:uid="{00000000-0005-0000-0000-000028000000}"/>
    <cellStyle name="Normal 3 2 2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" xfId="45" xr:uid="{00000000-0005-0000-0000-00002D000000}"/>
    <cellStyle name="Normal 8" xfId="46" xr:uid="{00000000-0005-0000-0000-00002E000000}"/>
    <cellStyle name="Normal 9" xfId="47" xr:uid="{00000000-0005-0000-0000-00002F000000}"/>
    <cellStyle name="Nota 2" xfId="48" xr:uid="{00000000-0005-0000-0000-000030000000}"/>
    <cellStyle name="Porcentagem 2" xfId="49" xr:uid="{00000000-0005-0000-0000-000031000000}"/>
    <cellStyle name="Porcentagem 2 2" xfId="50" xr:uid="{00000000-0005-0000-0000-000032000000}"/>
    <cellStyle name="Porcentagem 3" xfId="51" xr:uid="{00000000-0005-0000-0000-000033000000}"/>
    <cellStyle name="Porcentagem 4" xfId="52" xr:uid="{00000000-0005-0000-0000-000034000000}"/>
    <cellStyle name="Porcentagem 5" xfId="53" xr:uid="{00000000-0005-0000-0000-000035000000}"/>
    <cellStyle name="Porcentagem 6" xfId="54" xr:uid="{00000000-0005-0000-0000-000036000000}"/>
    <cellStyle name="Porcentagem 7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65" xr:uid="{00000000-0005-0000-0000-000041000000}"/>
    <cellStyle name="Vírgula 2 2" xfId="66" xr:uid="{00000000-0005-0000-0000-000042000000}"/>
    <cellStyle name="Vírgula 3" xfId="67" xr:uid="{00000000-0005-0000-0000-000043000000}"/>
    <cellStyle name="Vírgula 3 2" xfId="68" xr:uid="{00000000-0005-0000-0000-000044000000}"/>
    <cellStyle name="Vírgula 4" xfId="69" xr:uid="{00000000-0005-0000-0000-000045000000}"/>
    <cellStyle name="Vírgula 5" xfId="70" xr:uid="{00000000-0005-0000-0000-000046000000}"/>
    <cellStyle name="Vírgula 6" xfId="71" xr:uid="{00000000-0005-0000-0000-000047000000}"/>
    <cellStyle name="Vírgula 7" xfId="72" xr:uid="{00000000-0005-0000-0000-000048000000}"/>
    <cellStyle name="Vírgula 8" xfId="73" xr:uid="{00000000-0005-0000-0000-000049000000}"/>
    <cellStyle name="Vírgula 9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7"/>
  <sheetViews>
    <sheetView topLeftCell="A31" workbookViewId="0">
      <selection activeCell="C98" sqref="C98:N98"/>
    </sheetView>
  </sheetViews>
  <sheetFormatPr defaultRowHeight="15" x14ac:dyDescent="0.25"/>
  <cols>
    <col min="2" max="2" width="36.28515625" customWidth="1"/>
    <col min="3" max="14" width="8.7109375" customWidth="1"/>
    <col min="16" max="26" width="6.7109375" customWidth="1"/>
  </cols>
  <sheetData>
    <row r="1" spans="2:14" ht="18.75" x14ac:dyDescent="0.3">
      <c r="B1" s="273" t="s">
        <v>424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</row>
    <row r="2" spans="2:14" ht="15" customHeight="1" x14ac:dyDescent="0.25">
      <c r="B2" s="276" t="s">
        <v>201</v>
      </c>
      <c r="C2" s="277" t="s">
        <v>202</v>
      </c>
      <c r="D2" s="277"/>
      <c r="E2" s="277"/>
      <c r="F2" s="277"/>
      <c r="G2" s="277"/>
      <c r="H2" s="277"/>
      <c r="I2" s="278" t="s">
        <v>203</v>
      </c>
      <c r="J2" s="278"/>
      <c r="K2" s="278"/>
      <c r="L2" s="278"/>
      <c r="M2" s="278"/>
      <c r="N2" s="278"/>
    </row>
    <row r="3" spans="2:14" ht="20.100000000000001" customHeight="1" x14ac:dyDescent="0.25">
      <c r="B3" s="276"/>
      <c r="C3" s="276" t="s">
        <v>407</v>
      </c>
      <c r="D3" s="276"/>
      <c r="E3" s="276"/>
      <c r="F3" s="276" t="s">
        <v>204</v>
      </c>
      <c r="G3" s="276"/>
      <c r="H3" s="276"/>
      <c r="I3" s="279" t="s">
        <v>408</v>
      </c>
      <c r="J3" s="280"/>
      <c r="K3" s="279" t="s">
        <v>409</v>
      </c>
      <c r="L3" s="280"/>
      <c r="M3" s="279" t="s">
        <v>410</v>
      </c>
      <c r="N3" s="280"/>
    </row>
    <row r="4" spans="2:14" ht="20.100000000000001" customHeight="1" x14ac:dyDescent="0.25">
      <c r="B4" s="276"/>
      <c r="C4" s="276"/>
      <c r="D4" s="276"/>
      <c r="E4" s="276"/>
      <c r="F4" s="176" t="s">
        <v>205</v>
      </c>
      <c r="G4" s="176" t="s">
        <v>206</v>
      </c>
      <c r="H4" s="176" t="s">
        <v>207</v>
      </c>
      <c r="I4" s="281"/>
      <c r="J4" s="282"/>
      <c r="K4" s="281"/>
      <c r="L4" s="282"/>
      <c r="M4" s="281"/>
      <c r="N4" s="282"/>
    </row>
    <row r="5" spans="2:14" ht="13.9" customHeight="1" x14ac:dyDescent="0.25">
      <c r="B5" s="179" t="s">
        <v>208</v>
      </c>
      <c r="C5" s="284">
        <v>9.58</v>
      </c>
      <c r="D5" s="285"/>
      <c r="E5" s="286"/>
      <c r="F5" s="184">
        <v>44</v>
      </c>
      <c r="G5" s="78">
        <v>16</v>
      </c>
      <c r="H5" s="185">
        <v>10</v>
      </c>
      <c r="I5" s="287">
        <f>C5*F5</f>
        <v>421.52</v>
      </c>
      <c r="J5" s="288"/>
      <c r="K5" s="288">
        <f>C5*G5</f>
        <v>153.28</v>
      </c>
      <c r="L5" s="288"/>
      <c r="M5" s="288">
        <f>C5*H5</f>
        <v>95.8</v>
      </c>
      <c r="N5" s="291"/>
    </row>
    <row r="6" spans="2:14" ht="13.9" customHeight="1" x14ac:dyDescent="0.25">
      <c r="B6" s="180" t="s">
        <v>209</v>
      </c>
      <c r="C6" s="265">
        <v>17.48</v>
      </c>
      <c r="D6" s="266"/>
      <c r="E6" s="267"/>
      <c r="F6" s="186">
        <v>12</v>
      </c>
      <c r="G6" s="79">
        <v>7</v>
      </c>
      <c r="H6" s="187">
        <v>7</v>
      </c>
      <c r="I6" s="268">
        <f>C6*F6</f>
        <v>209.76</v>
      </c>
      <c r="J6" s="269"/>
      <c r="K6" s="269">
        <f t="shared" ref="K6:K35" si="0">C6*G6</f>
        <v>122.36</v>
      </c>
      <c r="L6" s="269"/>
      <c r="M6" s="269">
        <f t="shared" ref="M6:M35" si="1">C6*H6</f>
        <v>122.36</v>
      </c>
      <c r="N6" s="270"/>
    </row>
    <row r="7" spans="2:14" ht="13.9" customHeight="1" x14ac:dyDescent="0.25">
      <c r="B7" s="180" t="s">
        <v>406</v>
      </c>
      <c r="C7" s="265">
        <v>8.81</v>
      </c>
      <c r="D7" s="266"/>
      <c r="E7" s="267"/>
      <c r="F7" s="186">
        <v>1</v>
      </c>
      <c r="G7" s="79">
        <v>1</v>
      </c>
      <c r="H7" s="187">
        <v>1</v>
      </c>
      <c r="I7" s="268">
        <f t="shared" ref="I7:I35" si="2">C7*F7</f>
        <v>8.81</v>
      </c>
      <c r="J7" s="269"/>
      <c r="K7" s="269">
        <f t="shared" si="0"/>
        <v>8.81</v>
      </c>
      <c r="L7" s="269"/>
      <c r="M7" s="269">
        <f t="shared" si="1"/>
        <v>8.81</v>
      </c>
      <c r="N7" s="270"/>
    </row>
    <row r="8" spans="2:14" ht="13.9" customHeight="1" x14ac:dyDescent="0.25">
      <c r="B8" s="180" t="s">
        <v>411</v>
      </c>
      <c r="C8" s="265">
        <v>19.510000000000002</v>
      </c>
      <c r="D8" s="266"/>
      <c r="E8" s="267"/>
      <c r="F8" s="186">
        <v>3</v>
      </c>
      <c r="G8" s="79">
        <v>2</v>
      </c>
      <c r="H8" s="187">
        <v>0</v>
      </c>
      <c r="I8" s="268">
        <f t="shared" si="2"/>
        <v>58.53</v>
      </c>
      <c r="J8" s="269"/>
      <c r="K8" s="269">
        <f t="shared" si="0"/>
        <v>39.020000000000003</v>
      </c>
      <c r="L8" s="269"/>
      <c r="M8" s="269">
        <f t="shared" si="1"/>
        <v>0</v>
      </c>
      <c r="N8" s="270"/>
    </row>
    <row r="9" spans="2:14" ht="13.9" customHeight="1" x14ac:dyDescent="0.25">
      <c r="B9" s="180" t="s">
        <v>210</v>
      </c>
      <c r="C9" s="271">
        <v>9.1300000000000008</v>
      </c>
      <c r="D9" s="266"/>
      <c r="E9" s="272"/>
      <c r="F9" s="186">
        <v>42</v>
      </c>
      <c r="G9" s="79">
        <v>14</v>
      </c>
      <c r="H9" s="187">
        <v>11</v>
      </c>
      <c r="I9" s="268">
        <f t="shared" si="2"/>
        <v>383.46000000000004</v>
      </c>
      <c r="J9" s="269"/>
      <c r="K9" s="269">
        <f t="shared" si="0"/>
        <v>127.82000000000001</v>
      </c>
      <c r="L9" s="269"/>
      <c r="M9" s="269">
        <f t="shared" si="1"/>
        <v>100.43</v>
      </c>
      <c r="N9" s="270"/>
    </row>
    <row r="10" spans="2:14" ht="13.9" customHeight="1" x14ac:dyDescent="0.25">
      <c r="B10" s="180" t="s">
        <v>413</v>
      </c>
      <c r="C10" s="271">
        <v>7.27</v>
      </c>
      <c r="D10" s="266"/>
      <c r="E10" s="272"/>
      <c r="F10" s="186">
        <v>1</v>
      </c>
      <c r="G10" s="79">
        <v>1</v>
      </c>
      <c r="H10" s="187">
        <v>1</v>
      </c>
      <c r="I10" s="268">
        <f t="shared" ref="I10" si="3">C10*F10</f>
        <v>7.27</v>
      </c>
      <c r="J10" s="269"/>
      <c r="K10" s="269">
        <f t="shared" ref="K10" si="4">C10*G10</f>
        <v>7.27</v>
      </c>
      <c r="L10" s="269"/>
      <c r="M10" s="269">
        <f t="shared" ref="M10" si="5">C10*H10</f>
        <v>7.27</v>
      </c>
      <c r="N10" s="270"/>
    </row>
    <row r="11" spans="2:14" ht="13.9" customHeight="1" x14ac:dyDescent="0.25">
      <c r="B11" s="180" t="s">
        <v>211</v>
      </c>
      <c r="C11" s="271">
        <v>10.16</v>
      </c>
      <c r="D11" s="266"/>
      <c r="E11" s="272"/>
      <c r="F11" s="188">
        <v>30</v>
      </c>
      <c r="G11" s="79">
        <v>13</v>
      </c>
      <c r="H11" s="187">
        <v>7</v>
      </c>
      <c r="I11" s="268">
        <f t="shared" si="2"/>
        <v>304.8</v>
      </c>
      <c r="J11" s="269"/>
      <c r="K11" s="269">
        <f t="shared" si="0"/>
        <v>132.08000000000001</v>
      </c>
      <c r="L11" s="269"/>
      <c r="M11" s="269">
        <f t="shared" si="1"/>
        <v>71.12</v>
      </c>
      <c r="N11" s="270"/>
    </row>
    <row r="12" spans="2:14" ht="13.9" customHeight="1" x14ac:dyDescent="0.25">
      <c r="B12" s="180" t="s">
        <v>414</v>
      </c>
      <c r="C12" s="271">
        <v>6.91</v>
      </c>
      <c r="D12" s="266"/>
      <c r="E12" s="272"/>
      <c r="F12" s="188">
        <v>1</v>
      </c>
      <c r="G12" s="79">
        <v>0</v>
      </c>
      <c r="H12" s="187">
        <v>0</v>
      </c>
      <c r="I12" s="268">
        <f t="shared" ref="I12" si="6">C12*F12</f>
        <v>6.91</v>
      </c>
      <c r="J12" s="269"/>
      <c r="K12" s="269">
        <f t="shared" ref="K12" si="7">C12*G12</f>
        <v>0</v>
      </c>
      <c r="L12" s="269"/>
      <c r="M12" s="269">
        <f t="shared" ref="M12" si="8">C12*H12</f>
        <v>0</v>
      </c>
      <c r="N12" s="270"/>
    </row>
    <row r="13" spans="2:14" ht="13.9" customHeight="1" x14ac:dyDescent="0.25">
      <c r="B13" s="180" t="s">
        <v>212</v>
      </c>
      <c r="C13" s="271">
        <v>22.21</v>
      </c>
      <c r="D13" s="266"/>
      <c r="E13" s="272"/>
      <c r="F13" s="186">
        <v>33</v>
      </c>
      <c r="G13" s="79">
        <v>10</v>
      </c>
      <c r="H13" s="187">
        <v>7</v>
      </c>
      <c r="I13" s="268">
        <f t="shared" si="2"/>
        <v>732.93000000000006</v>
      </c>
      <c r="J13" s="269"/>
      <c r="K13" s="269">
        <f t="shared" si="0"/>
        <v>222.10000000000002</v>
      </c>
      <c r="L13" s="269"/>
      <c r="M13" s="269">
        <f t="shared" si="1"/>
        <v>155.47</v>
      </c>
      <c r="N13" s="270"/>
    </row>
    <row r="14" spans="2:14" ht="27.95" customHeight="1" x14ac:dyDescent="0.25">
      <c r="B14" s="183" t="s">
        <v>412</v>
      </c>
      <c r="C14" s="271">
        <v>15.92</v>
      </c>
      <c r="D14" s="266"/>
      <c r="E14" s="272"/>
      <c r="F14" s="186">
        <v>1</v>
      </c>
      <c r="G14" s="79">
        <v>1</v>
      </c>
      <c r="H14" s="187">
        <v>0</v>
      </c>
      <c r="I14" s="268">
        <f t="shared" ref="I14" si="9">C14*F14</f>
        <v>15.92</v>
      </c>
      <c r="J14" s="269"/>
      <c r="K14" s="269">
        <f t="shared" ref="K14" si="10">C14*G14</f>
        <v>15.92</v>
      </c>
      <c r="L14" s="269"/>
      <c r="M14" s="269">
        <f t="shared" ref="M14" si="11">C14*H14</f>
        <v>0</v>
      </c>
      <c r="N14" s="270"/>
    </row>
    <row r="15" spans="2:14" ht="13.9" customHeight="1" x14ac:dyDescent="0.25">
      <c r="B15" s="180" t="s">
        <v>213</v>
      </c>
      <c r="C15" s="271">
        <v>10.27</v>
      </c>
      <c r="D15" s="266"/>
      <c r="E15" s="272"/>
      <c r="F15" s="186">
        <v>27</v>
      </c>
      <c r="G15" s="79">
        <v>12</v>
      </c>
      <c r="H15" s="187">
        <v>5</v>
      </c>
      <c r="I15" s="268">
        <f t="shared" si="2"/>
        <v>277.28999999999996</v>
      </c>
      <c r="J15" s="269"/>
      <c r="K15" s="269">
        <f t="shared" si="0"/>
        <v>123.24</v>
      </c>
      <c r="L15" s="269"/>
      <c r="M15" s="269">
        <f t="shared" si="1"/>
        <v>51.349999999999994</v>
      </c>
      <c r="N15" s="270"/>
    </row>
    <row r="16" spans="2:14" ht="13.9" customHeight="1" x14ac:dyDescent="0.25">
      <c r="B16" s="180" t="s">
        <v>214</v>
      </c>
      <c r="C16" s="271">
        <v>18.14</v>
      </c>
      <c r="D16" s="266"/>
      <c r="E16" s="272"/>
      <c r="F16" s="188">
        <v>35</v>
      </c>
      <c r="G16" s="79">
        <v>11</v>
      </c>
      <c r="H16" s="187">
        <v>8</v>
      </c>
      <c r="I16" s="268">
        <f t="shared" si="2"/>
        <v>634.9</v>
      </c>
      <c r="J16" s="269"/>
      <c r="K16" s="269">
        <f t="shared" si="0"/>
        <v>199.54000000000002</v>
      </c>
      <c r="L16" s="269"/>
      <c r="M16" s="269">
        <f t="shared" si="1"/>
        <v>145.12</v>
      </c>
      <c r="N16" s="270"/>
    </row>
    <row r="17" spans="2:14" ht="13.9" customHeight="1" x14ac:dyDescent="0.25">
      <c r="B17" s="180" t="s">
        <v>415</v>
      </c>
      <c r="C17" s="271">
        <v>9.42</v>
      </c>
      <c r="D17" s="266"/>
      <c r="E17" s="272"/>
      <c r="F17" s="188">
        <v>1</v>
      </c>
      <c r="G17" s="79">
        <v>0</v>
      </c>
      <c r="H17" s="187">
        <v>0</v>
      </c>
      <c r="I17" s="268">
        <f t="shared" ref="I17" si="12">C17*F17</f>
        <v>9.42</v>
      </c>
      <c r="J17" s="269"/>
      <c r="K17" s="269">
        <f t="shared" ref="K17" si="13">C17*G17</f>
        <v>0</v>
      </c>
      <c r="L17" s="269"/>
      <c r="M17" s="269">
        <f t="shared" ref="M17" si="14">C17*H17</f>
        <v>0</v>
      </c>
      <c r="N17" s="270"/>
    </row>
    <row r="18" spans="2:14" ht="13.9" customHeight="1" x14ac:dyDescent="0.25">
      <c r="B18" s="180" t="s">
        <v>215</v>
      </c>
      <c r="C18" s="271">
        <v>15.63</v>
      </c>
      <c r="D18" s="266"/>
      <c r="E18" s="272"/>
      <c r="F18" s="186">
        <v>37</v>
      </c>
      <c r="G18" s="79">
        <v>12</v>
      </c>
      <c r="H18" s="187">
        <v>7</v>
      </c>
      <c r="I18" s="268">
        <f t="shared" si="2"/>
        <v>578.31000000000006</v>
      </c>
      <c r="J18" s="269"/>
      <c r="K18" s="269">
        <f t="shared" si="0"/>
        <v>187.56</v>
      </c>
      <c r="L18" s="269"/>
      <c r="M18" s="269">
        <f t="shared" si="1"/>
        <v>109.41000000000001</v>
      </c>
      <c r="N18" s="270"/>
    </row>
    <row r="19" spans="2:14" ht="13.9" customHeight="1" x14ac:dyDescent="0.25">
      <c r="B19" s="180" t="s">
        <v>416</v>
      </c>
      <c r="C19" s="271">
        <v>8.84</v>
      </c>
      <c r="D19" s="266"/>
      <c r="E19" s="272"/>
      <c r="F19" s="186">
        <v>1</v>
      </c>
      <c r="G19" s="79">
        <v>1</v>
      </c>
      <c r="H19" s="187">
        <v>1</v>
      </c>
      <c r="I19" s="268">
        <f t="shared" ref="I19" si="15">C19*F19</f>
        <v>8.84</v>
      </c>
      <c r="J19" s="269"/>
      <c r="K19" s="269">
        <f t="shared" ref="K19" si="16">C19*G19</f>
        <v>8.84</v>
      </c>
      <c r="L19" s="269"/>
      <c r="M19" s="269">
        <f t="shared" ref="M19" si="17">C19*H19</f>
        <v>8.84</v>
      </c>
      <c r="N19" s="270"/>
    </row>
    <row r="20" spans="2:14" ht="13.9" customHeight="1" x14ac:dyDescent="0.25">
      <c r="B20" s="180" t="s">
        <v>216</v>
      </c>
      <c r="C20" s="271">
        <v>14.28</v>
      </c>
      <c r="D20" s="266"/>
      <c r="E20" s="272"/>
      <c r="F20" s="186">
        <v>51</v>
      </c>
      <c r="G20" s="79">
        <v>21</v>
      </c>
      <c r="H20" s="187">
        <v>7</v>
      </c>
      <c r="I20" s="268">
        <f t="shared" si="2"/>
        <v>728.28</v>
      </c>
      <c r="J20" s="269"/>
      <c r="K20" s="269">
        <f t="shared" si="0"/>
        <v>299.88</v>
      </c>
      <c r="L20" s="269"/>
      <c r="M20" s="269">
        <f t="shared" si="1"/>
        <v>99.96</v>
      </c>
      <c r="N20" s="270"/>
    </row>
    <row r="21" spans="2:14" ht="13.9" customHeight="1" x14ac:dyDescent="0.25">
      <c r="B21" s="180" t="s">
        <v>417</v>
      </c>
      <c r="C21" s="271">
        <v>7.41</v>
      </c>
      <c r="D21" s="266"/>
      <c r="E21" s="272"/>
      <c r="F21" s="186">
        <v>2</v>
      </c>
      <c r="G21" s="79">
        <v>1</v>
      </c>
      <c r="H21" s="187">
        <v>0</v>
      </c>
      <c r="I21" s="268">
        <f t="shared" ref="I21" si="18">C21*F21</f>
        <v>14.82</v>
      </c>
      <c r="J21" s="269"/>
      <c r="K21" s="269">
        <f t="shared" ref="K21" si="19">C21*G21</f>
        <v>7.41</v>
      </c>
      <c r="L21" s="269"/>
      <c r="M21" s="269">
        <f t="shared" ref="M21" si="20">C21*H21</f>
        <v>0</v>
      </c>
      <c r="N21" s="270"/>
    </row>
    <row r="22" spans="2:14" ht="13.9" customHeight="1" x14ac:dyDescent="0.25">
      <c r="B22" s="180" t="s">
        <v>217</v>
      </c>
      <c r="C22" s="271">
        <v>8.8699999999999992</v>
      </c>
      <c r="D22" s="266"/>
      <c r="E22" s="272"/>
      <c r="F22" s="186">
        <v>25</v>
      </c>
      <c r="G22" s="79">
        <v>17</v>
      </c>
      <c r="H22" s="187">
        <v>0</v>
      </c>
      <c r="I22" s="268">
        <f t="shared" si="2"/>
        <v>221.74999999999997</v>
      </c>
      <c r="J22" s="269"/>
      <c r="K22" s="269">
        <f t="shared" si="0"/>
        <v>150.79</v>
      </c>
      <c r="L22" s="269"/>
      <c r="M22" s="269">
        <f t="shared" si="1"/>
        <v>0</v>
      </c>
      <c r="N22" s="270"/>
    </row>
    <row r="23" spans="2:14" ht="13.9" customHeight="1" x14ac:dyDescent="0.25">
      <c r="B23" s="181" t="s">
        <v>218</v>
      </c>
      <c r="C23" s="265">
        <v>6.25</v>
      </c>
      <c r="D23" s="266"/>
      <c r="E23" s="267"/>
      <c r="F23" s="186">
        <v>34</v>
      </c>
      <c r="G23" s="79">
        <v>21</v>
      </c>
      <c r="H23" s="187">
        <v>7</v>
      </c>
      <c r="I23" s="268">
        <f t="shared" si="2"/>
        <v>212.5</v>
      </c>
      <c r="J23" s="269"/>
      <c r="K23" s="269">
        <f t="shared" si="0"/>
        <v>131.25</v>
      </c>
      <c r="L23" s="269"/>
      <c r="M23" s="269">
        <f t="shared" si="1"/>
        <v>43.75</v>
      </c>
      <c r="N23" s="270"/>
    </row>
    <row r="24" spans="2:14" ht="13.9" customHeight="1" x14ac:dyDescent="0.25">
      <c r="B24" s="181" t="s">
        <v>418</v>
      </c>
      <c r="C24" s="265">
        <v>4.09</v>
      </c>
      <c r="D24" s="266"/>
      <c r="E24" s="267"/>
      <c r="F24" s="186">
        <v>1</v>
      </c>
      <c r="G24" s="79">
        <v>0</v>
      </c>
      <c r="H24" s="187">
        <v>0</v>
      </c>
      <c r="I24" s="268">
        <f t="shared" ref="I24" si="21">C24*F24</f>
        <v>4.09</v>
      </c>
      <c r="J24" s="269"/>
      <c r="K24" s="269">
        <f t="shared" ref="K24" si="22">C24*G24</f>
        <v>0</v>
      </c>
      <c r="L24" s="269"/>
      <c r="M24" s="269">
        <f t="shared" ref="M24" si="23">C24*H24</f>
        <v>0</v>
      </c>
      <c r="N24" s="270"/>
    </row>
    <row r="25" spans="2:14" ht="13.9" customHeight="1" x14ac:dyDescent="0.25">
      <c r="B25" s="180" t="s">
        <v>219</v>
      </c>
      <c r="C25" s="271">
        <v>14.61</v>
      </c>
      <c r="D25" s="266"/>
      <c r="E25" s="272"/>
      <c r="F25" s="186">
        <v>28</v>
      </c>
      <c r="G25" s="79">
        <v>16</v>
      </c>
      <c r="H25" s="187">
        <v>7</v>
      </c>
      <c r="I25" s="268">
        <f t="shared" si="2"/>
        <v>409.08</v>
      </c>
      <c r="J25" s="269"/>
      <c r="K25" s="269">
        <f t="shared" si="0"/>
        <v>233.76</v>
      </c>
      <c r="L25" s="269"/>
      <c r="M25" s="269">
        <f t="shared" si="1"/>
        <v>102.27</v>
      </c>
      <c r="N25" s="270"/>
    </row>
    <row r="26" spans="2:14" ht="13.9" customHeight="1" x14ac:dyDescent="0.25">
      <c r="B26" s="180" t="s">
        <v>220</v>
      </c>
      <c r="C26" s="271">
        <v>9.09</v>
      </c>
      <c r="D26" s="266"/>
      <c r="E26" s="272"/>
      <c r="F26" s="186">
        <v>17</v>
      </c>
      <c r="G26" s="79">
        <v>15</v>
      </c>
      <c r="H26" s="187">
        <v>8</v>
      </c>
      <c r="I26" s="268">
        <f t="shared" si="2"/>
        <v>154.53</v>
      </c>
      <c r="J26" s="269"/>
      <c r="K26" s="269">
        <f t="shared" si="0"/>
        <v>136.35</v>
      </c>
      <c r="L26" s="269"/>
      <c r="M26" s="269">
        <f t="shared" si="1"/>
        <v>72.72</v>
      </c>
      <c r="N26" s="270"/>
    </row>
    <row r="27" spans="2:14" ht="13.9" customHeight="1" x14ac:dyDescent="0.25">
      <c r="B27" s="180" t="s">
        <v>419</v>
      </c>
      <c r="C27" s="271">
        <v>12.35</v>
      </c>
      <c r="D27" s="266"/>
      <c r="E27" s="272"/>
      <c r="F27" s="186">
        <v>10</v>
      </c>
      <c r="G27" s="79">
        <v>0</v>
      </c>
      <c r="H27" s="187">
        <v>0</v>
      </c>
      <c r="I27" s="268">
        <f t="shared" ref="I27" si="24">C27*F27</f>
        <v>123.5</v>
      </c>
      <c r="J27" s="269"/>
      <c r="K27" s="269">
        <f t="shared" ref="K27" si="25">C27*G27</f>
        <v>0</v>
      </c>
      <c r="L27" s="269"/>
      <c r="M27" s="269">
        <f t="shared" ref="M27" si="26">C27*H27</f>
        <v>0</v>
      </c>
      <c r="N27" s="270"/>
    </row>
    <row r="28" spans="2:14" ht="13.9" customHeight="1" x14ac:dyDescent="0.25">
      <c r="B28" s="180" t="s">
        <v>221</v>
      </c>
      <c r="C28" s="271">
        <v>11.28</v>
      </c>
      <c r="D28" s="266"/>
      <c r="E28" s="272"/>
      <c r="F28" s="186">
        <v>29</v>
      </c>
      <c r="G28" s="79">
        <v>23</v>
      </c>
      <c r="H28" s="187">
        <v>17</v>
      </c>
      <c r="I28" s="268">
        <f t="shared" si="2"/>
        <v>327.12</v>
      </c>
      <c r="J28" s="269"/>
      <c r="K28" s="269">
        <f t="shared" si="0"/>
        <v>259.44</v>
      </c>
      <c r="L28" s="269"/>
      <c r="M28" s="269">
        <f t="shared" si="1"/>
        <v>191.76</v>
      </c>
      <c r="N28" s="270"/>
    </row>
    <row r="29" spans="2:14" ht="13.9" customHeight="1" x14ac:dyDescent="0.25">
      <c r="B29" s="180" t="s">
        <v>420</v>
      </c>
      <c r="C29" s="271">
        <v>12.8</v>
      </c>
      <c r="D29" s="266"/>
      <c r="E29" s="272"/>
      <c r="F29" s="186">
        <v>1</v>
      </c>
      <c r="G29" s="79">
        <v>0</v>
      </c>
      <c r="H29" s="187">
        <v>0</v>
      </c>
      <c r="I29" s="268">
        <f t="shared" ref="I29" si="27">C29*F29</f>
        <v>12.8</v>
      </c>
      <c r="J29" s="269"/>
      <c r="K29" s="269">
        <f t="shared" ref="K29" si="28">C29*G29</f>
        <v>0</v>
      </c>
      <c r="L29" s="269"/>
      <c r="M29" s="269">
        <f t="shared" ref="M29" si="29">C29*H29</f>
        <v>0</v>
      </c>
      <c r="N29" s="270"/>
    </row>
    <row r="30" spans="2:14" ht="13.9" customHeight="1" x14ac:dyDescent="0.25">
      <c r="B30" s="180" t="s">
        <v>222</v>
      </c>
      <c r="C30" s="271">
        <v>11.07</v>
      </c>
      <c r="D30" s="266"/>
      <c r="E30" s="272"/>
      <c r="F30" s="186">
        <v>24</v>
      </c>
      <c r="G30" s="79">
        <v>0</v>
      </c>
      <c r="H30" s="187">
        <v>0</v>
      </c>
      <c r="I30" s="268">
        <f t="shared" si="2"/>
        <v>265.68</v>
      </c>
      <c r="J30" s="269"/>
      <c r="K30" s="269">
        <f t="shared" si="0"/>
        <v>0</v>
      </c>
      <c r="L30" s="269"/>
      <c r="M30" s="269">
        <f t="shared" si="1"/>
        <v>0</v>
      </c>
      <c r="N30" s="270"/>
    </row>
    <row r="31" spans="2:14" ht="13.9" customHeight="1" x14ac:dyDescent="0.25">
      <c r="B31" s="180" t="s">
        <v>223</v>
      </c>
      <c r="C31" s="271">
        <v>12.39</v>
      </c>
      <c r="D31" s="266"/>
      <c r="E31" s="272"/>
      <c r="F31" s="186">
        <v>29</v>
      </c>
      <c r="G31" s="79">
        <v>23</v>
      </c>
      <c r="H31" s="187">
        <v>0</v>
      </c>
      <c r="I31" s="268">
        <f t="shared" si="2"/>
        <v>359.31</v>
      </c>
      <c r="J31" s="269"/>
      <c r="K31" s="269">
        <f t="shared" si="0"/>
        <v>284.97000000000003</v>
      </c>
      <c r="L31" s="269"/>
      <c r="M31" s="269">
        <f t="shared" si="1"/>
        <v>0</v>
      </c>
      <c r="N31" s="270"/>
    </row>
    <row r="32" spans="2:14" ht="13.9" customHeight="1" x14ac:dyDescent="0.25">
      <c r="B32" s="181" t="s">
        <v>224</v>
      </c>
      <c r="C32" s="265">
        <v>24.51</v>
      </c>
      <c r="D32" s="266"/>
      <c r="E32" s="267"/>
      <c r="F32" s="186">
        <v>42</v>
      </c>
      <c r="G32" s="79">
        <v>22</v>
      </c>
      <c r="H32" s="187">
        <v>10</v>
      </c>
      <c r="I32" s="268">
        <f t="shared" si="2"/>
        <v>1029.42</v>
      </c>
      <c r="J32" s="269"/>
      <c r="K32" s="269">
        <f t="shared" si="0"/>
        <v>539.22</v>
      </c>
      <c r="L32" s="269"/>
      <c r="M32" s="269">
        <f t="shared" si="1"/>
        <v>245.10000000000002</v>
      </c>
      <c r="N32" s="270"/>
    </row>
    <row r="33" spans="2:14" ht="13.9" customHeight="1" x14ac:dyDescent="0.25">
      <c r="B33" s="181" t="s">
        <v>421</v>
      </c>
      <c r="C33" s="265">
        <v>12.21</v>
      </c>
      <c r="D33" s="266"/>
      <c r="E33" s="267"/>
      <c r="F33" s="186">
        <v>2</v>
      </c>
      <c r="G33" s="79">
        <v>0</v>
      </c>
      <c r="H33" s="187">
        <v>0</v>
      </c>
      <c r="I33" s="268">
        <f t="shared" ref="I33:I34" si="30">C33*F33</f>
        <v>24.42</v>
      </c>
      <c r="J33" s="269"/>
      <c r="K33" s="269">
        <f t="shared" ref="K33:K34" si="31">C33*G33</f>
        <v>0</v>
      </c>
      <c r="L33" s="269"/>
      <c r="M33" s="269">
        <f t="shared" ref="M33:M34" si="32">C33*H33</f>
        <v>0</v>
      </c>
      <c r="N33" s="270"/>
    </row>
    <row r="34" spans="2:14" ht="13.9" customHeight="1" x14ac:dyDescent="0.25">
      <c r="B34" s="181" t="s">
        <v>422</v>
      </c>
      <c r="C34" s="265">
        <v>24.78</v>
      </c>
      <c r="D34" s="266"/>
      <c r="E34" s="267"/>
      <c r="F34" s="186">
        <v>2</v>
      </c>
      <c r="G34" s="79">
        <v>0</v>
      </c>
      <c r="H34" s="187">
        <v>0</v>
      </c>
      <c r="I34" s="268">
        <f t="shared" si="30"/>
        <v>49.56</v>
      </c>
      <c r="J34" s="269"/>
      <c r="K34" s="269">
        <f t="shared" si="31"/>
        <v>0</v>
      </c>
      <c r="L34" s="269"/>
      <c r="M34" s="269">
        <f t="shared" si="32"/>
        <v>0</v>
      </c>
      <c r="N34" s="270"/>
    </row>
    <row r="35" spans="2:14" ht="13.9" customHeight="1" x14ac:dyDescent="0.25">
      <c r="B35" s="181" t="s">
        <v>225</v>
      </c>
      <c r="C35" s="265">
        <v>12.63</v>
      </c>
      <c r="D35" s="266"/>
      <c r="E35" s="267"/>
      <c r="F35" s="186">
        <v>37</v>
      </c>
      <c r="G35" s="79">
        <v>17</v>
      </c>
      <c r="H35" s="187">
        <v>8</v>
      </c>
      <c r="I35" s="268">
        <f t="shared" si="2"/>
        <v>467.31</v>
      </c>
      <c r="J35" s="269"/>
      <c r="K35" s="269">
        <f t="shared" si="0"/>
        <v>214.71</v>
      </c>
      <c r="L35" s="269"/>
      <c r="M35" s="269">
        <f t="shared" si="1"/>
        <v>101.04</v>
      </c>
      <c r="N35" s="270"/>
    </row>
    <row r="36" spans="2:14" ht="13.9" customHeight="1" x14ac:dyDescent="0.25">
      <c r="B36" s="182" t="s">
        <v>423</v>
      </c>
      <c r="C36" s="257">
        <v>6.54</v>
      </c>
      <c r="D36" s="258"/>
      <c r="E36" s="259"/>
      <c r="F36" s="189">
        <v>2</v>
      </c>
      <c r="G36" s="80">
        <v>2</v>
      </c>
      <c r="H36" s="190">
        <v>0</v>
      </c>
      <c r="I36" s="260">
        <f t="shared" ref="I36" si="33">C36*F36</f>
        <v>13.08</v>
      </c>
      <c r="J36" s="261"/>
      <c r="K36" s="261">
        <f t="shared" ref="K36" si="34">C36*G36</f>
        <v>13.08</v>
      </c>
      <c r="L36" s="261"/>
      <c r="M36" s="261">
        <f t="shared" ref="M36" si="35">C36*H36</f>
        <v>0</v>
      </c>
      <c r="N36" s="262"/>
    </row>
    <row r="37" spans="2:14" ht="20.100000000000001" customHeight="1" x14ac:dyDescent="0.25">
      <c r="B37" s="263" t="s">
        <v>226</v>
      </c>
      <c r="C37" s="263"/>
      <c r="D37" s="263"/>
      <c r="E37" s="263"/>
      <c r="F37" s="195">
        <f>SUM(F5:F36)</f>
        <v>605</v>
      </c>
      <c r="G37" s="195">
        <f>SUM(G5:G36)</f>
        <v>279</v>
      </c>
      <c r="H37" s="195">
        <f>SUM(H5:H36)</f>
        <v>129</v>
      </c>
      <c r="I37" s="264">
        <f>SUM(I5:J36)</f>
        <v>8075.920000000001</v>
      </c>
      <c r="J37" s="264"/>
      <c r="K37" s="264">
        <f t="shared" ref="K37" si="36">SUM(K5:L36)</f>
        <v>3618.7</v>
      </c>
      <c r="L37" s="264"/>
      <c r="M37" s="264">
        <f t="shared" ref="M37" si="37">SUM(M5:N36)</f>
        <v>1732.58</v>
      </c>
      <c r="N37" s="264"/>
    </row>
    <row r="38" spans="2:14" x14ac:dyDescent="0.25">
      <c r="B38" s="66"/>
      <c r="C38" s="289"/>
      <c r="D38" s="289"/>
      <c r="E38" s="289"/>
      <c r="F38" s="290"/>
      <c r="G38" s="290"/>
      <c r="H38" s="67"/>
      <c r="I38" s="68"/>
      <c r="J38" s="68"/>
      <c r="K38" s="68"/>
      <c r="L38" s="68"/>
      <c r="M38" s="68"/>
      <c r="N38" s="68"/>
    </row>
    <row r="39" spans="2:14" ht="18.75" x14ac:dyDescent="0.3">
      <c r="B39" s="273" t="s">
        <v>425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5"/>
    </row>
    <row r="40" spans="2:14" ht="15.75" x14ac:dyDescent="0.25">
      <c r="B40" s="276" t="s">
        <v>201</v>
      </c>
      <c r="C40" s="277" t="s">
        <v>202</v>
      </c>
      <c r="D40" s="277"/>
      <c r="E40" s="277"/>
      <c r="F40" s="277"/>
      <c r="G40" s="277"/>
      <c r="H40" s="277"/>
      <c r="I40" s="278" t="s">
        <v>203</v>
      </c>
      <c r="J40" s="278"/>
      <c r="K40" s="278"/>
      <c r="L40" s="278"/>
      <c r="M40" s="278"/>
      <c r="N40" s="278"/>
    </row>
    <row r="41" spans="2:14" x14ac:dyDescent="0.25">
      <c r="B41" s="276"/>
      <c r="C41" s="276" t="s">
        <v>407</v>
      </c>
      <c r="D41" s="276"/>
      <c r="E41" s="276"/>
      <c r="F41" s="276" t="s">
        <v>204</v>
      </c>
      <c r="G41" s="276"/>
      <c r="H41" s="276"/>
      <c r="I41" s="279" t="s">
        <v>408</v>
      </c>
      <c r="J41" s="280"/>
      <c r="K41" s="279" t="s">
        <v>409</v>
      </c>
      <c r="L41" s="280"/>
      <c r="M41" s="279" t="s">
        <v>410</v>
      </c>
      <c r="N41" s="280"/>
    </row>
    <row r="42" spans="2:14" x14ac:dyDescent="0.25">
      <c r="B42" s="276"/>
      <c r="C42" s="276"/>
      <c r="D42" s="276"/>
      <c r="E42" s="276"/>
      <c r="F42" s="176" t="s">
        <v>205</v>
      </c>
      <c r="G42" s="176" t="s">
        <v>206</v>
      </c>
      <c r="H42" s="176" t="s">
        <v>207</v>
      </c>
      <c r="I42" s="281"/>
      <c r="J42" s="282"/>
      <c r="K42" s="281"/>
      <c r="L42" s="282"/>
      <c r="M42" s="281"/>
      <c r="N42" s="282"/>
    </row>
    <row r="43" spans="2:14" x14ac:dyDescent="0.25">
      <c r="B43" s="179" t="s">
        <v>208</v>
      </c>
      <c r="C43" s="284">
        <v>9.58</v>
      </c>
      <c r="D43" s="285"/>
      <c r="E43" s="286"/>
      <c r="F43" s="184">
        <v>39</v>
      </c>
      <c r="G43" s="78">
        <v>16</v>
      </c>
      <c r="H43" s="185">
        <v>10</v>
      </c>
      <c r="I43" s="287">
        <f>C43*F43</f>
        <v>373.62</v>
      </c>
      <c r="J43" s="288"/>
      <c r="K43" s="288">
        <f>C43*G43</f>
        <v>153.28</v>
      </c>
      <c r="L43" s="288"/>
      <c r="M43" s="288">
        <f>C43*H43</f>
        <v>95.8</v>
      </c>
      <c r="N43" s="291"/>
    </row>
    <row r="44" spans="2:14" x14ac:dyDescent="0.25">
      <c r="B44" s="180" t="s">
        <v>209</v>
      </c>
      <c r="C44" s="265">
        <v>17.48</v>
      </c>
      <c r="D44" s="266"/>
      <c r="E44" s="267"/>
      <c r="F44" s="186">
        <v>10</v>
      </c>
      <c r="G44" s="79">
        <v>6</v>
      </c>
      <c r="H44" s="187">
        <v>7</v>
      </c>
      <c r="I44" s="268">
        <f>C44*F44</f>
        <v>174.8</v>
      </c>
      <c r="J44" s="269"/>
      <c r="K44" s="269">
        <f t="shared" ref="K44:K74" si="38">C44*G44</f>
        <v>104.88</v>
      </c>
      <c r="L44" s="269"/>
      <c r="M44" s="269">
        <f t="shared" ref="M44:M74" si="39">C44*H44</f>
        <v>122.36</v>
      </c>
      <c r="N44" s="270"/>
    </row>
    <row r="45" spans="2:14" x14ac:dyDescent="0.25">
      <c r="B45" s="180" t="s">
        <v>406</v>
      </c>
      <c r="C45" s="265">
        <v>8.81</v>
      </c>
      <c r="D45" s="266"/>
      <c r="E45" s="267"/>
      <c r="F45" s="186">
        <v>1</v>
      </c>
      <c r="G45" s="79">
        <v>0</v>
      </c>
      <c r="H45" s="187">
        <v>0</v>
      </c>
      <c r="I45" s="268">
        <f t="shared" ref="I45:I74" si="40">C45*F45</f>
        <v>8.81</v>
      </c>
      <c r="J45" s="269"/>
      <c r="K45" s="269">
        <f t="shared" si="38"/>
        <v>0</v>
      </c>
      <c r="L45" s="269"/>
      <c r="M45" s="269">
        <f t="shared" si="39"/>
        <v>0</v>
      </c>
      <c r="N45" s="270"/>
    </row>
    <row r="46" spans="2:14" x14ac:dyDescent="0.25">
      <c r="B46" s="180" t="s">
        <v>411</v>
      </c>
      <c r="C46" s="265">
        <v>19.510000000000002</v>
      </c>
      <c r="D46" s="266"/>
      <c r="E46" s="267"/>
      <c r="F46" s="186">
        <v>3</v>
      </c>
      <c r="G46" s="79">
        <v>2</v>
      </c>
      <c r="H46" s="187">
        <v>0</v>
      </c>
      <c r="I46" s="268">
        <f t="shared" si="40"/>
        <v>58.53</v>
      </c>
      <c r="J46" s="269"/>
      <c r="K46" s="269">
        <f t="shared" si="38"/>
        <v>39.020000000000003</v>
      </c>
      <c r="L46" s="269"/>
      <c r="M46" s="269">
        <f t="shared" si="39"/>
        <v>0</v>
      </c>
      <c r="N46" s="270"/>
    </row>
    <row r="47" spans="2:14" x14ac:dyDescent="0.25">
      <c r="B47" s="180" t="s">
        <v>210</v>
      </c>
      <c r="C47" s="271">
        <v>9.1300000000000008</v>
      </c>
      <c r="D47" s="266"/>
      <c r="E47" s="272"/>
      <c r="F47" s="186">
        <v>36</v>
      </c>
      <c r="G47" s="79">
        <v>14</v>
      </c>
      <c r="H47" s="187">
        <v>11</v>
      </c>
      <c r="I47" s="268">
        <f t="shared" si="40"/>
        <v>328.68</v>
      </c>
      <c r="J47" s="269"/>
      <c r="K47" s="269">
        <f t="shared" si="38"/>
        <v>127.82000000000001</v>
      </c>
      <c r="L47" s="269"/>
      <c r="M47" s="269">
        <f t="shared" si="39"/>
        <v>100.43</v>
      </c>
      <c r="N47" s="270"/>
    </row>
    <row r="48" spans="2:14" ht="9.9499999999999993" customHeight="1" x14ac:dyDescent="0.25">
      <c r="B48" s="180" t="s">
        <v>413</v>
      </c>
      <c r="C48" s="271">
        <v>7.27</v>
      </c>
      <c r="D48" s="266"/>
      <c r="E48" s="272"/>
      <c r="F48" s="186">
        <v>1</v>
      </c>
      <c r="G48" s="79">
        <v>1</v>
      </c>
      <c r="H48" s="187">
        <v>1</v>
      </c>
      <c r="I48" s="268">
        <f t="shared" si="40"/>
        <v>7.27</v>
      </c>
      <c r="J48" s="269"/>
      <c r="K48" s="269">
        <f t="shared" si="38"/>
        <v>7.27</v>
      </c>
      <c r="L48" s="269"/>
      <c r="M48" s="269">
        <f t="shared" si="39"/>
        <v>7.27</v>
      </c>
      <c r="N48" s="270"/>
    </row>
    <row r="49" spans="2:14" ht="15" customHeight="1" x14ac:dyDescent="0.25">
      <c r="B49" s="180" t="s">
        <v>211</v>
      </c>
      <c r="C49" s="271">
        <v>10.16</v>
      </c>
      <c r="D49" s="266"/>
      <c r="E49" s="272"/>
      <c r="F49" s="188">
        <v>26</v>
      </c>
      <c r="G49" s="79">
        <v>13</v>
      </c>
      <c r="H49" s="187">
        <v>7</v>
      </c>
      <c r="I49" s="268">
        <f t="shared" si="40"/>
        <v>264.16000000000003</v>
      </c>
      <c r="J49" s="269"/>
      <c r="K49" s="269">
        <f t="shared" si="38"/>
        <v>132.08000000000001</v>
      </c>
      <c r="L49" s="269"/>
      <c r="M49" s="269">
        <f t="shared" si="39"/>
        <v>71.12</v>
      </c>
      <c r="N49" s="270"/>
    </row>
    <row r="50" spans="2:14" ht="15" customHeight="1" x14ac:dyDescent="0.25">
      <c r="B50" s="180" t="s">
        <v>414</v>
      </c>
      <c r="C50" s="271">
        <v>6.91</v>
      </c>
      <c r="D50" s="266"/>
      <c r="E50" s="272"/>
      <c r="F50" s="188">
        <v>1</v>
      </c>
      <c r="G50" s="79">
        <v>0</v>
      </c>
      <c r="H50" s="187">
        <v>0</v>
      </c>
      <c r="I50" s="268">
        <f t="shared" si="40"/>
        <v>6.91</v>
      </c>
      <c r="J50" s="269"/>
      <c r="K50" s="269">
        <f t="shared" si="38"/>
        <v>0</v>
      </c>
      <c r="L50" s="269"/>
      <c r="M50" s="269">
        <f t="shared" si="39"/>
        <v>0</v>
      </c>
      <c r="N50" s="270"/>
    </row>
    <row r="51" spans="2:14" x14ac:dyDescent="0.25">
      <c r="B51" s="180" t="s">
        <v>212</v>
      </c>
      <c r="C51" s="271">
        <v>22.21</v>
      </c>
      <c r="D51" s="266"/>
      <c r="E51" s="272"/>
      <c r="F51" s="186">
        <v>28</v>
      </c>
      <c r="G51" s="79">
        <v>10</v>
      </c>
      <c r="H51" s="187">
        <v>7</v>
      </c>
      <c r="I51" s="268">
        <f t="shared" si="40"/>
        <v>621.88</v>
      </c>
      <c r="J51" s="269"/>
      <c r="K51" s="269">
        <f t="shared" si="38"/>
        <v>222.10000000000002</v>
      </c>
      <c r="L51" s="269"/>
      <c r="M51" s="269">
        <f t="shared" si="39"/>
        <v>155.47</v>
      </c>
      <c r="N51" s="270"/>
    </row>
    <row r="52" spans="2:14" ht="22.5" x14ac:dyDescent="0.25">
      <c r="B52" s="183" t="s">
        <v>412</v>
      </c>
      <c r="C52" s="271">
        <v>15.92</v>
      </c>
      <c r="D52" s="266"/>
      <c r="E52" s="272"/>
      <c r="F52" s="186">
        <v>1</v>
      </c>
      <c r="G52" s="79">
        <v>1</v>
      </c>
      <c r="H52" s="187">
        <v>0</v>
      </c>
      <c r="I52" s="268">
        <f t="shared" si="40"/>
        <v>15.92</v>
      </c>
      <c r="J52" s="269"/>
      <c r="K52" s="269">
        <f t="shared" si="38"/>
        <v>15.92</v>
      </c>
      <c r="L52" s="269"/>
      <c r="M52" s="269">
        <f t="shared" si="39"/>
        <v>0</v>
      </c>
      <c r="N52" s="270"/>
    </row>
    <row r="53" spans="2:14" x14ac:dyDescent="0.25">
      <c r="B53" s="180" t="s">
        <v>213</v>
      </c>
      <c r="C53" s="271">
        <v>10.27</v>
      </c>
      <c r="D53" s="266"/>
      <c r="E53" s="272"/>
      <c r="F53" s="186">
        <v>21</v>
      </c>
      <c r="G53" s="79">
        <v>12</v>
      </c>
      <c r="H53" s="187">
        <v>5</v>
      </c>
      <c r="I53" s="268">
        <f t="shared" si="40"/>
        <v>215.67</v>
      </c>
      <c r="J53" s="269"/>
      <c r="K53" s="269">
        <f t="shared" si="38"/>
        <v>123.24</v>
      </c>
      <c r="L53" s="269"/>
      <c r="M53" s="269">
        <f t="shared" si="39"/>
        <v>51.349999999999994</v>
      </c>
      <c r="N53" s="270"/>
    </row>
    <row r="54" spans="2:14" x14ac:dyDescent="0.25">
      <c r="B54" s="180" t="s">
        <v>214</v>
      </c>
      <c r="C54" s="271">
        <v>18.14</v>
      </c>
      <c r="D54" s="266"/>
      <c r="E54" s="272"/>
      <c r="F54" s="188">
        <v>26</v>
      </c>
      <c r="G54" s="79">
        <v>11</v>
      </c>
      <c r="H54" s="187">
        <v>8</v>
      </c>
      <c r="I54" s="268">
        <f t="shared" si="40"/>
        <v>471.64</v>
      </c>
      <c r="J54" s="269"/>
      <c r="K54" s="269">
        <f t="shared" si="38"/>
        <v>199.54000000000002</v>
      </c>
      <c r="L54" s="269"/>
      <c r="M54" s="269">
        <f t="shared" si="39"/>
        <v>145.12</v>
      </c>
      <c r="N54" s="270"/>
    </row>
    <row r="55" spans="2:14" x14ac:dyDescent="0.25">
      <c r="B55" s="180" t="s">
        <v>415</v>
      </c>
      <c r="C55" s="271">
        <v>9.42</v>
      </c>
      <c r="D55" s="266"/>
      <c r="E55" s="272"/>
      <c r="F55" s="188">
        <v>1</v>
      </c>
      <c r="G55" s="79">
        <v>0</v>
      </c>
      <c r="H55" s="187">
        <v>0</v>
      </c>
      <c r="I55" s="268">
        <f t="shared" si="40"/>
        <v>9.42</v>
      </c>
      <c r="J55" s="269"/>
      <c r="K55" s="269">
        <f t="shared" si="38"/>
        <v>0</v>
      </c>
      <c r="L55" s="269"/>
      <c r="M55" s="269">
        <f t="shared" si="39"/>
        <v>0</v>
      </c>
      <c r="N55" s="270"/>
    </row>
    <row r="56" spans="2:14" x14ac:dyDescent="0.25">
      <c r="B56" s="180" t="s">
        <v>215</v>
      </c>
      <c r="C56" s="271">
        <v>15.63</v>
      </c>
      <c r="D56" s="266"/>
      <c r="E56" s="272"/>
      <c r="F56" s="186">
        <v>35</v>
      </c>
      <c r="G56" s="79">
        <v>12</v>
      </c>
      <c r="H56" s="187">
        <v>7</v>
      </c>
      <c r="I56" s="268">
        <f t="shared" si="40"/>
        <v>547.05000000000007</v>
      </c>
      <c r="J56" s="269"/>
      <c r="K56" s="269">
        <f t="shared" si="38"/>
        <v>187.56</v>
      </c>
      <c r="L56" s="269"/>
      <c r="M56" s="269">
        <f t="shared" si="39"/>
        <v>109.41000000000001</v>
      </c>
      <c r="N56" s="270"/>
    </row>
    <row r="57" spans="2:14" x14ac:dyDescent="0.25">
      <c r="B57" s="180" t="s">
        <v>416</v>
      </c>
      <c r="C57" s="271">
        <v>8.84</v>
      </c>
      <c r="D57" s="266"/>
      <c r="E57" s="272"/>
      <c r="F57" s="186">
        <v>1</v>
      </c>
      <c r="G57" s="79">
        <v>1</v>
      </c>
      <c r="H57" s="187">
        <v>1</v>
      </c>
      <c r="I57" s="268">
        <f t="shared" si="40"/>
        <v>8.84</v>
      </c>
      <c r="J57" s="269"/>
      <c r="K57" s="269">
        <f t="shared" si="38"/>
        <v>8.84</v>
      </c>
      <c r="L57" s="269"/>
      <c r="M57" s="269">
        <f t="shared" si="39"/>
        <v>8.84</v>
      </c>
      <c r="N57" s="270"/>
    </row>
    <row r="58" spans="2:14" x14ac:dyDescent="0.25">
      <c r="B58" s="180" t="s">
        <v>216</v>
      </c>
      <c r="C58" s="271">
        <v>14.28</v>
      </c>
      <c r="D58" s="266"/>
      <c r="E58" s="272"/>
      <c r="F58" s="186">
        <v>41</v>
      </c>
      <c r="G58" s="79">
        <v>18</v>
      </c>
      <c r="H58" s="187">
        <v>7</v>
      </c>
      <c r="I58" s="268">
        <f t="shared" si="40"/>
        <v>585.48</v>
      </c>
      <c r="J58" s="269"/>
      <c r="K58" s="269">
        <f t="shared" si="38"/>
        <v>257.03999999999996</v>
      </c>
      <c r="L58" s="269"/>
      <c r="M58" s="269">
        <f t="shared" si="39"/>
        <v>99.96</v>
      </c>
      <c r="N58" s="270"/>
    </row>
    <row r="59" spans="2:14" x14ac:dyDescent="0.25">
      <c r="B59" s="180" t="s">
        <v>417</v>
      </c>
      <c r="C59" s="271">
        <v>7.41</v>
      </c>
      <c r="D59" s="266"/>
      <c r="E59" s="272"/>
      <c r="F59" s="186">
        <v>2</v>
      </c>
      <c r="G59" s="79">
        <v>1</v>
      </c>
      <c r="H59" s="187">
        <v>0</v>
      </c>
      <c r="I59" s="268">
        <f t="shared" si="40"/>
        <v>14.82</v>
      </c>
      <c r="J59" s="269"/>
      <c r="K59" s="269">
        <f t="shared" si="38"/>
        <v>7.41</v>
      </c>
      <c r="L59" s="269"/>
      <c r="M59" s="269">
        <f t="shared" si="39"/>
        <v>0</v>
      </c>
      <c r="N59" s="270"/>
    </row>
    <row r="60" spans="2:14" x14ac:dyDescent="0.25">
      <c r="B60" s="180" t="s">
        <v>217</v>
      </c>
      <c r="C60" s="271">
        <v>8.8699999999999992</v>
      </c>
      <c r="D60" s="266"/>
      <c r="E60" s="272"/>
      <c r="F60" s="186">
        <v>25</v>
      </c>
      <c r="G60" s="79">
        <v>17</v>
      </c>
      <c r="H60" s="187">
        <v>0</v>
      </c>
      <c r="I60" s="268">
        <f t="shared" si="40"/>
        <v>221.74999999999997</v>
      </c>
      <c r="J60" s="269"/>
      <c r="K60" s="269">
        <f t="shared" si="38"/>
        <v>150.79</v>
      </c>
      <c r="L60" s="269"/>
      <c r="M60" s="269">
        <f t="shared" si="39"/>
        <v>0</v>
      </c>
      <c r="N60" s="270"/>
    </row>
    <row r="61" spans="2:14" x14ac:dyDescent="0.25">
      <c r="B61" s="181" t="s">
        <v>218</v>
      </c>
      <c r="C61" s="265">
        <v>6.25</v>
      </c>
      <c r="D61" s="266"/>
      <c r="E61" s="267"/>
      <c r="F61" s="186">
        <v>28</v>
      </c>
      <c r="G61" s="79">
        <v>21</v>
      </c>
      <c r="H61" s="187">
        <v>7</v>
      </c>
      <c r="I61" s="268">
        <f t="shared" si="40"/>
        <v>175</v>
      </c>
      <c r="J61" s="269"/>
      <c r="K61" s="269">
        <f t="shared" si="38"/>
        <v>131.25</v>
      </c>
      <c r="L61" s="269"/>
      <c r="M61" s="269">
        <f t="shared" si="39"/>
        <v>43.75</v>
      </c>
      <c r="N61" s="270"/>
    </row>
    <row r="62" spans="2:14" x14ac:dyDescent="0.25">
      <c r="B62" s="181" t="s">
        <v>418</v>
      </c>
      <c r="C62" s="265">
        <v>4.09</v>
      </c>
      <c r="D62" s="266"/>
      <c r="E62" s="267"/>
      <c r="F62" s="186">
        <v>1</v>
      </c>
      <c r="G62" s="79">
        <v>1</v>
      </c>
      <c r="H62" s="187">
        <v>1</v>
      </c>
      <c r="I62" s="268">
        <f t="shared" si="40"/>
        <v>4.09</v>
      </c>
      <c r="J62" s="269"/>
      <c r="K62" s="269">
        <f t="shared" si="38"/>
        <v>4.09</v>
      </c>
      <c r="L62" s="269"/>
      <c r="M62" s="269">
        <f t="shared" si="39"/>
        <v>4.09</v>
      </c>
      <c r="N62" s="270"/>
    </row>
    <row r="63" spans="2:14" x14ac:dyDescent="0.25">
      <c r="B63" s="180" t="s">
        <v>219</v>
      </c>
      <c r="C63" s="271">
        <v>14.61</v>
      </c>
      <c r="D63" s="266"/>
      <c r="E63" s="272"/>
      <c r="F63" s="186">
        <v>26</v>
      </c>
      <c r="G63" s="79">
        <v>16</v>
      </c>
      <c r="H63" s="187">
        <v>7</v>
      </c>
      <c r="I63" s="268">
        <f t="shared" si="40"/>
        <v>379.86</v>
      </c>
      <c r="J63" s="269"/>
      <c r="K63" s="269">
        <f t="shared" si="38"/>
        <v>233.76</v>
      </c>
      <c r="L63" s="269"/>
      <c r="M63" s="269">
        <f t="shared" si="39"/>
        <v>102.27</v>
      </c>
      <c r="N63" s="270"/>
    </row>
    <row r="64" spans="2:14" x14ac:dyDescent="0.25">
      <c r="B64" s="180" t="s">
        <v>220</v>
      </c>
      <c r="C64" s="271">
        <v>9.09</v>
      </c>
      <c r="D64" s="266"/>
      <c r="E64" s="272"/>
      <c r="F64" s="186">
        <v>16</v>
      </c>
      <c r="G64" s="79">
        <v>15</v>
      </c>
      <c r="H64" s="187">
        <v>8</v>
      </c>
      <c r="I64" s="268">
        <f t="shared" si="40"/>
        <v>145.44</v>
      </c>
      <c r="J64" s="269"/>
      <c r="K64" s="269">
        <f t="shared" si="38"/>
        <v>136.35</v>
      </c>
      <c r="L64" s="269"/>
      <c r="M64" s="269">
        <f t="shared" si="39"/>
        <v>72.72</v>
      </c>
      <c r="N64" s="270"/>
    </row>
    <row r="65" spans="2:14" x14ac:dyDescent="0.25">
      <c r="B65" s="180" t="s">
        <v>419</v>
      </c>
      <c r="C65" s="271">
        <v>12.35</v>
      </c>
      <c r="D65" s="266"/>
      <c r="E65" s="272"/>
      <c r="F65" s="186">
        <v>11</v>
      </c>
      <c r="G65" s="79">
        <v>0</v>
      </c>
      <c r="H65" s="187">
        <v>0</v>
      </c>
      <c r="I65" s="268">
        <f t="shared" si="40"/>
        <v>135.85</v>
      </c>
      <c r="J65" s="269"/>
      <c r="K65" s="269">
        <f t="shared" si="38"/>
        <v>0</v>
      </c>
      <c r="L65" s="269"/>
      <c r="M65" s="269">
        <f t="shared" si="39"/>
        <v>0</v>
      </c>
      <c r="N65" s="270"/>
    </row>
    <row r="66" spans="2:14" x14ac:dyDescent="0.25">
      <c r="B66" s="180" t="s">
        <v>221</v>
      </c>
      <c r="C66" s="271">
        <v>11.28</v>
      </c>
      <c r="D66" s="266"/>
      <c r="E66" s="272"/>
      <c r="F66" s="186">
        <v>28</v>
      </c>
      <c r="G66" s="79">
        <v>22</v>
      </c>
      <c r="H66" s="187">
        <v>14</v>
      </c>
      <c r="I66" s="268">
        <f t="shared" si="40"/>
        <v>315.83999999999997</v>
      </c>
      <c r="J66" s="269"/>
      <c r="K66" s="269">
        <f t="shared" si="38"/>
        <v>248.16</v>
      </c>
      <c r="L66" s="269"/>
      <c r="M66" s="269">
        <f t="shared" si="39"/>
        <v>157.91999999999999</v>
      </c>
      <c r="N66" s="270"/>
    </row>
    <row r="67" spans="2:14" x14ac:dyDescent="0.25">
      <c r="B67" s="180" t="s">
        <v>420</v>
      </c>
      <c r="C67" s="271">
        <v>12.8</v>
      </c>
      <c r="D67" s="266"/>
      <c r="E67" s="272"/>
      <c r="F67" s="186">
        <v>1</v>
      </c>
      <c r="G67" s="79">
        <v>0</v>
      </c>
      <c r="H67" s="187">
        <v>0</v>
      </c>
      <c r="I67" s="268">
        <f t="shared" si="40"/>
        <v>12.8</v>
      </c>
      <c r="J67" s="269"/>
      <c r="K67" s="269">
        <f t="shared" si="38"/>
        <v>0</v>
      </c>
      <c r="L67" s="269"/>
      <c r="M67" s="269">
        <f t="shared" si="39"/>
        <v>0</v>
      </c>
      <c r="N67" s="270"/>
    </row>
    <row r="68" spans="2:14" x14ac:dyDescent="0.25">
      <c r="B68" s="180" t="s">
        <v>222</v>
      </c>
      <c r="C68" s="271">
        <v>11.07</v>
      </c>
      <c r="D68" s="266"/>
      <c r="E68" s="272"/>
      <c r="F68" s="186">
        <v>10</v>
      </c>
      <c r="G68" s="79">
        <v>0</v>
      </c>
      <c r="H68" s="187">
        <v>0</v>
      </c>
      <c r="I68" s="268">
        <f t="shared" si="40"/>
        <v>110.7</v>
      </c>
      <c r="J68" s="269"/>
      <c r="K68" s="269">
        <f t="shared" si="38"/>
        <v>0</v>
      </c>
      <c r="L68" s="269"/>
      <c r="M68" s="269">
        <f t="shared" si="39"/>
        <v>0</v>
      </c>
      <c r="N68" s="270"/>
    </row>
    <row r="69" spans="2:14" x14ac:dyDescent="0.25">
      <c r="B69" s="180" t="s">
        <v>223</v>
      </c>
      <c r="C69" s="271">
        <v>12.39</v>
      </c>
      <c r="D69" s="266"/>
      <c r="E69" s="272"/>
      <c r="F69" s="186">
        <v>28</v>
      </c>
      <c r="G69" s="79">
        <v>23</v>
      </c>
      <c r="H69" s="187">
        <v>0</v>
      </c>
      <c r="I69" s="268">
        <f t="shared" si="40"/>
        <v>346.92</v>
      </c>
      <c r="J69" s="269"/>
      <c r="K69" s="269">
        <f t="shared" si="38"/>
        <v>284.97000000000003</v>
      </c>
      <c r="L69" s="269"/>
      <c r="M69" s="269">
        <f t="shared" si="39"/>
        <v>0</v>
      </c>
      <c r="N69" s="270"/>
    </row>
    <row r="70" spans="2:14" x14ac:dyDescent="0.25">
      <c r="B70" s="181" t="s">
        <v>224</v>
      </c>
      <c r="C70" s="265">
        <v>24.51</v>
      </c>
      <c r="D70" s="266"/>
      <c r="E70" s="267"/>
      <c r="F70" s="186">
        <v>32</v>
      </c>
      <c r="G70" s="79">
        <v>22</v>
      </c>
      <c r="H70" s="187">
        <v>10</v>
      </c>
      <c r="I70" s="268">
        <f t="shared" si="40"/>
        <v>784.32</v>
      </c>
      <c r="J70" s="269"/>
      <c r="K70" s="269">
        <f t="shared" si="38"/>
        <v>539.22</v>
      </c>
      <c r="L70" s="269"/>
      <c r="M70" s="269">
        <f t="shared" si="39"/>
        <v>245.10000000000002</v>
      </c>
      <c r="N70" s="270"/>
    </row>
    <row r="71" spans="2:14" x14ac:dyDescent="0.25">
      <c r="B71" s="181" t="s">
        <v>421</v>
      </c>
      <c r="C71" s="265">
        <v>12.21</v>
      </c>
      <c r="D71" s="266"/>
      <c r="E71" s="267"/>
      <c r="F71" s="186">
        <v>1</v>
      </c>
      <c r="G71" s="79">
        <v>0</v>
      </c>
      <c r="H71" s="187">
        <v>0</v>
      </c>
      <c r="I71" s="268">
        <f t="shared" si="40"/>
        <v>12.21</v>
      </c>
      <c r="J71" s="269"/>
      <c r="K71" s="269">
        <f t="shared" si="38"/>
        <v>0</v>
      </c>
      <c r="L71" s="269"/>
      <c r="M71" s="269">
        <f t="shared" si="39"/>
        <v>0</v>
      </c>
      <c r="N71" s="270"/>
    </row>
    <row r="72" spans="2:14" x14ac:dyDescent="0.25">
      <c r="B72" s="181" t="s">
        <v>422</v>
      </c>
      <c r="C72" s="265">
        <v>24.78</v>
      </c>
      <c r="D72" s="266"/>
      <c r="E72" s="267"/>
      <c r="F72" s="186">
        <v>0</v>
      </c>
      <c r="G72" s="79">
        <v>0</v>
      </c>
      <c r="H72" s="187">
        <v>0</v>
      </c>
      <c r="I72" s="268">
        <f t="shared" si="40"/>
        <v>0</v>
      </c>
      <c r="J72" s="269"/>
      <c r="K72" s="269">
        <f t="shared" si="38"/>
        <v>0</v>
      </c>
      <c r="L72" s="269"/>
      <c r="M72" s="269">
        <f t="shared" si="39"/>
        <v>0</v>
      </c>
      <c r="N72" s="270"/>
    </row>
    <row r="73" spans="2:14" x14ac:dyDescent="0.25">
      <c r="B73" s="181" t="s">
        <v>225</v>
      </c>
      <c r="C73" s="265">
        <v>12.63</v>
      </c>
      <c r="D73" s="266"/>
      <c r="E73" s="267"/>
      <c r="F73" s="186">
        <v>13</v>
      </c>
      <c r="G73" s="79">
        <v>17</v>
      </c>
      <c r="H73" s="187">
        <v>8</v>
      </c>
      <c r="I73" s="268">
        <f t="shared" si="40"/>
        <v>164.19</v>
      </c>
      <c r="J73" s="269"/>
      <c r="K73" s="269">
        <f t="shared" si="38"/>
        <v>214.71</v>
      </c>
      <c r="L73" s="269"/>
      <c r="M73" s="269">
        <f t="shared" si="39"/>
        <v>101.04</v>
      </c>
      <c r="N73" s="270"/>
    </row>
    <row r="74" spans="2:14" x14ac:dyDescent="0.25">
      <c r="B74" s="182" t="s">
        <v>423</v>
      </c>
      <c r="C74" s="257">
        <v>6.54</v>
      </c>
      <c r="D74" s="258"/>
      <c r="E74" s="259"/>
      <c r="F74" s="189">
        <v>1</v>
      </c>
      <c r="G74" s="80">
        <v>1</v>
      </c>
      <c r="H74" s="190">
        <v>0</v>
      </c>
      <c r="I74" s="260">
        <f t="shared" si="40"/>
        <v>6.54</v>
      </c>
      <c r="J74" s="261"/>
      <c r="K74" s="261">
        <f t="shared" si="38"/>
        <v>6.54</v>
      </c>
      <c r="L74" s="261"/>
      <c r="M74" s="261">
        <f t="shared" si="39"/>
        <v>0</v>
      </c>
      <c r="N74" s="262"/>
    </row>
    <row r="75" spans="2:14" ht="18.75" x14ac:dyDescent="0.25">
      <c r="B75" s="263" t="s">
        <v>226</v>
      </c>
      <c r="C75" s="263"/>
      <c r="D75" s="263"/>
      <c r="E75" s="263"/>
      <c r="F75" s="195">
        <f>SUM(F43:F74)</f>
        <v>494</v>
      </c>
      <c r="G75" s="195">
        <f>SUM(G43:G74)</f>
        <v>273</v>
      </c>
      <c r="H75" s="195">
        <f>SUM(H43:H74)</f>
        <v>126</v>
      </c>
      <c r="I75" s="264">
        <f>SUM(I43:J74)</f>
        <v>6529.01</v>
      </c>
      <c r="J75" s="264"/>
      <c r="K75" s="264">
        <f t="shared" ref="K75" si="41">SUM(K43:L74)</f>
        <v>3535.8399999999992</v>
      </c>
      <c r="L75" s="264"/>
      <c r="M75" s="264">
        <f t="shared" ref="M75" si="42">SUM(M43:N74)</f>
        <v>1694.0200000000004</v>
      </c>
      <c r="N75" s="264"/>
    </row>
    <row r="77" spans="2:14" ht="18.75" x14ac:dyDescent="0.3">
      <c r="B77" s="273" t="s">
        <v>426</v>
      </c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5"/>
    </row>
    <row r="78" spans="2:14" ht="15.75" x14ac:dyDescent="0.25">
      <c r="C78" s="278" t="s">
        <v>427</v>
      </c>
      <c r="D78" s="278"/>
      <c r="E78" s="278"/>
      <c r="F78" s="278"/>
      <c r="G78" s="278"/>
      <c r="H78" s="278"/>
      <c r="I78" s="278" t="s">
        <v>428</v>
      </c>
      <c r="J78" s="278"/>
      <c r="K78" s="278"/>
      <c r="L78" s="278"/>
      <c r="M78" s="278"/>
      <c r="N78" s="278"/>
    </row>
    <row r="79" spans="2:14" x14ac:dyDescent="0.25">
      <c r="C79" s="292" t="s">
        <v>431</v>
      </c>
      <c r="D79" s="292"/>
      <c r="E79" s="292" t="s">
        <v>429</v>
      </c>
      <c r="F79" s="292"/>
      <c r="G79" s="292" t="s">
        <v>430</v>
      </c>
      <c r="H79" s="292"/>
      <c r="I79" s="292" t="s">
        <v>431</v>
      </c>
      <c r="J79" s="292"/>
      <c r="K79" s="292" t="s">
        <v>429</v>
      </c>
      <c r="L79" s="292"/>
      <c r="M79" s="292" t="s">
        <v>430</v>
      </c>
      <c r="N79" s="292"/>
    </row>
    <row r="80" spans="2:14" x14ac:dyDescent="0.25">
      <c r="B80" s="191" t="s">
        <v>432</v>
      </c>
      <c r="C80" s="293"/>
      <c r="D80" s="293"/>
      <c r="E80" s="293"/>
      <c r="F80" s="293"/>
      <c r="G80" s="293"/>
      <c r="H80" s="293"/>
      <c r="I80" s="293">
        <v>22</v>
      </c>
      <c r="J80" s="293"/>
      <c r="K80" s="293">
        <v>4</v>
      </c>
      <c r="L80" s="293"/>
      <c r="M80" s="293">
        <v>5</v>
      </c>
      <c r="N80" s="293"/>
    </row>
    <row r="81" spans="2:14" x14ac:dyDescent="0.25">
      <c r="B81" s="192" t="s">
        <v>433</v>
      </c>
      <c r="C81" s="283">
        <v>12</v>
      </c>
      <c r="D81" s="283"/>
      <c r="E81" s="283">
        <v>2</v>
      </c>
      <c r="F81" s="283"/>
      <c r="G81" s="283">
        <v>2</v>
      </c>
      <c r="H81" s="283"/>
      <c r="I81" s="283">
        <v>7</v>
      </c>
      <c r="J81" s="283"/>
      <c r="K81" s="283">
        <v>4</v>
      </c>
      <c r="L81" s="283"/>
      <c r="M81" s="283">
        <v>2</v>
      </c>
      <c r="N81" s="283"/>
    </row>
    <row r="82" spans="2:14" x14ac:dyDescent="0.25">
      <c r="B82" s="192" t="s">
        <v>434</v>
      </c>
      <c r="C82" s="283">
        <v>20</v>
      </c>
      <c r="D82" s="283"/>
      <c r="E82" s="283">
        <v>5</v>
      </c>
      <c r="F82" s="283"/>
      <c r="G82" s="283">
        <v>6</v>
      </c>
      <c r="H82" s="283"/>
      <c r="I82" s="283"/>
      <c r="J82" s="283"/>
      <c r="K82" s="283"/>
      <c r="L82" s="283"/>
      <c r="M82" s="283"/>
      <c r="N82" s="283"/>
    </row>
    <row r="83" spans="2:14" x14ac:dyDescent="0.25">
      <c r="B83" s="192" t="s">
        <v>435</v>
      </c>
      <c r="C83" s="283">
        <v>22</v>
      </c>
      <c r="D83" s="283"/>
      <c r="E83" s="283">
        <v>4</v>
      </c>
      <c r="F83" s="283"/>
      <c r="G83" s="283">
        <v>4</v>
      </c>
      <c r="H83" s="283"/>
      <c r="I83" s="283"/>
      <c r="J83" s="283"/>
      <c r="K83" s="283"/>
      <c r="L83" s="283"/>
      <c r="M83" s="283"/>
      <c r="N83" s="283"/>
    </row>
    <row r="84" spans="2:14" x14ac:dyDescent="0.25">
      <c r="B84" s="192" t="s">
        <v>436</v>
      </c>
      <c r="C84" s="283">
        <v>21</v>
      </c>
      <c r="D84" s="283"/>
      <c r="E84" s="283">
        <v>4</v>
      </c>
      <c r="F84" s="283"/>
      <c r="G84" s="283">
        <v>6</v>
      </c>
      <c r="H84" s="283"/>
      <c r="I84" s="283"/>
      <c r="J84" s="283"/>
      <c r="K84" s="283"/>
      <c r="L84" s="283"/>
      <c r="M84" s="283"/>
      <c r="N84" s="283"/>
    </row>
    <row r="85" spans="2:14" x14ac:dyDescent="0.25">
      <c r="B85" s="192" t="s">
        <v>437</v>
      </c>
      <c r="C85" s="283">
        <v>20</v>
      </c>
      <c r="D85" s="283"/>
      <c r="E85" s="283">
        <v>5</v>
      </c>
      <c r="F85" s="283"/>
      <c r="G85" s="283">
        <v>5</v>
      </c>
      <c r="H85" s="283"/>
      <c r="I85" s="283"/>
      <c r="J85" s="283"/>
      <c r="K85" s="283"/>
      <c r="L85" s="283"/>
      <c r="M85" s="283"/>
      <c r="N85" s="283"/>
    </row>
    <row r="86" spans="2:14" x14ac:dyDescent="0.25">
      <c r="B86" s="192" t="s">
        <v>438</v>
      </c>
      <c r="C86" s="283">
        <v>23</v>
      </c>
      <c r="D86" s="283"/>
      <c r="E86" s="283">
        <v>4</v>
      </c>
      <c r="F86" s="283"/>
      <c r="G86" s="283">
        <v>4</v>
      </c>
      <c r="H86" s="283"/>
      <c r="I86" s="283"/>
      <c r="J86" s="283"/>
      <c r="K86" s="283"/>
      <c r="L86" s="283"/>
      <c r="M86" s="283"/>
      <c r="N86" s="283"/>
    </row>
    <row r="87" spans="2:14" x14ac:dyDescent="0.25">
      <c r="B87" s="192" t="s">
        <v>439</v>
      </c>
      <c r="C87" s="283">
        <v>22</v>
      </c>
      <c r="D87" s="283"/>
      <c r="E87" s="283">
        <v>5</v>
      </c>
      <c r="F87" s="283"/>
      <c r="G87" s="283">
        <v>4</v>
      </c>
      <c r="H87" s="283"/>
      <c r="I87" s="283"/>
      <c r="J87" s="283"/>
      <c r="K87" s="283"/>
      <c r="L87" s="283"/>
      <c r="M87" s="283"/>
      <c r="N87" s="283"/>
    </row>
    <row r="88" spans="2:14" x14ac:dyDescent="0.25">
      <c r="B88" s="192" t="s">
        <v>440</v>
      </c>
      <c r="C88" s="283">
        <v>20</v>
      </c>
      <c r="D88" s="283"/>
      <c r="E88" s="283">
        <v>3</v>
      </c>
      <c r="F88" s="283"/>
      <c r="G88" s="283">
        <v>7</v>
      </c>
      <c r="H88" s="283"/>
      <c r="I88" s="283"/>
      <c r="J88" s="283"/>
      <c r="K88" s="283"/>
      <c r="L88" s="283"/>
      <c r="M88" s="283"/>
      <c r="N88" s="283"/>
    </row>
    <row r="89" spans="2:14" x14ac:dyDescent="0.25">
      <c r="B89" s="192" t="s">
        <v>441</v>
      </c>
      <c r="C89" s="283">
        <v>23</v>
      </c>
      <c r="D89" s="283"/>
      <c r="E89" s="283">
        <v>3</v>
      </c>
      <c r="F89" s="283"/>
      <c r="G89" s="283">
        <v>5</v>
      </c>
      <c r="H89" s="283"/>
      <c r="I89" s="283"/>
      <c r="J89" s="283"/>
      <c r="K89" s="283"/>
      <c r="L89" s="283"/>
      <c r="M89" s="283"/>
      <c r="N89" s="283"/>
    </row>
    <row r="90" spans="2:14" x14ac:dyDescent="0.25">
      <c r="B90" s="192" t="s">
        <v>442</v>
      </c>
      <c r="C90" s="283">
        <v>20</v>
      </c>
      <c r="D90" s="283"/>
      <c r="E90" s="283">
        <v>4</v>
      </c>
      <c r="F90" s="283"/>
      <c r="G90" s="283">
        <v>6</v>
      </c>
      <c r="H90" s="283"/>
      <c r="I90" s="283"/>
      <c r="J90" s="283"/>
      <c r="K90" s="283"/>
      <c r="L90" s="283"/>
      <c r="M90" s="283"/>
      <c r="N90" s="283"/>
    </row>
    <row r="91" spans="2:14" x14ac:dyDescent="0.25">
      <c r="B91" s="193" t="s">
        <v>443</v>
      </c>
      <c r="C91" s="294">
        <v>17</v>
      </c>
      <c r="D91" s="294"/>
      <c r="E91" s="294">
        <v>3</v>
      </c>
      <c r="F91" s="294"/>
      <c r="G91" s="294">
        <v>5</v>
      </c>
      <c r="H91" s="294"/>
      <c r="I91" s="294">
        <v>4</v>
      </c>
      <c r="J91" s="294"/>
      <c r="K91" s="294">
        <v>1</v>
      </c>
      <c r="L91" s="294"/>
      <c r="M91" s="294">
        <v>1</v>
      </c>
      <c r="N91" s="294"/>
    </row>
    <row r="92" spans="2:14" ht="18.75" x14ac:dyDescent="0.3">
      <c r="B92" s="196" t="s">
        <v>226</v>
      </c>
      <c r="C92" s="295">
        <f>SUM(C80:D91)</f>
        <v>220</v>
      </c>
      <c r="D92" s="295"/>
      <c r="E92" s="295">
        <f t="shared" ref="E92" si="43">SUM(E80:F91)</f>
        <v>42</v>
      </c>
      <c r="F92" s="295"/>
      <c r="G92" s="295">
        <f t="shared" ref="G92" si="44">SUM(G80:H91)</f>
        <v>54</v>
      </c>
      <c r="H92" s="295"/>
      <c r="I92" s="295">
        <f t="shared" ref="I92" si="45">SUM(I80:J91)</f>
        <v>33</v>
      </c>
      <c r="J92" s="295"/>
      <c r="K92" s="295">
        <f t="shared" ref="K92" si="46">SUM(K80:L91)</f>
        <v>9</v>
      </c>
      <c r="L92" s="295"/>
      <c r="M92" s="295">
        <f t="shared" ref="M92" si="47">SUM(M80:N91)</f>
        <v>8</v>
      </c>
      <c r="N92" s="295"/>
    </row>
    <row r="94" spans="2:14" ht="18.75" x14ac:dyDescent="0.3">
      <c r="B94" s="273" t="s">
        <v>449</v>
      </c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5"/>
    </row>
    <row r="95" spans="2:14" x14ac:dyDescent="0.25">
      <c r="B95" s="194" t="s">
        <v>444</v>
      </c>
      <c r="C95" s="296">
        <f>I37*C92+I75*I92</f>
        <v>1992159.7300000002</v>
      </c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</row>
    <row r="96" spans="2:14" x14ac:dyDescent="0.25">
      <c r="B96" s="192" t="s">
        <v>445</v>
      </c>
      <c r="C96" s="297">
        <f>K37*E92+K75*K92</f>
        <v>183807.96</v>
      </c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</row>
    <row r="97" spans="2:14" x14ac:dyDescent="0.25">
      <c r="B97" s="193" t="s">
        <v>446</v>
      </c>
      <c r="C97" s="298">
        <f>M37*G92+M75*M92</f>
        <v>107111.48</v>
      </c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</row>
    <row r="98" spans="2:14" ht="18.75" x14ac:dyDescent="0.3">
      <c r="B98" s="196" t="s">
        <v>447</v>
      </c>
      <c r="C98" s="299">
        <f>C95+C96+C97</f>
        <v>2283079.1700000004</v>
      </c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</row>
    <row r="99" spans="2:14" ht="18.75" x14ac:dyDescent="0.3">
      <c r="B99" s="197"/>
      <c r="C99" s="198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2:14" ht="18.75" x14ac:dyDescent="0.3">
      <c r="B100" s="273" t="s">
        <v>450</v>
      </c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5"/>
    </row>
    <row r="101" spans="2:14" ht="18.75" x14ac:dyDescent="0.25">
      <c r="B101" s="309">
        <f>C98*0.05</f>
        <v>114153.95850000002</v>
      </c>
      <c r="C101" s="310"/>
      <c r="D101" s="310"/>
      <c r="E101" s="310"/>
      <c r="F101" s="310"/>
      <c r="G101" s="310"/>
      <c r="H101" s="310"/>
      <c r="I101" s="310"/>
      <c r="J101" s="310"/>
      <c r="K101" s="310"/>
      <c r="L101" s="310"/>
      <c r="M101" s="310"/>
      <c r="N101" s="311"/>
    </row>
    <row r="103" spans="2:14" ht="18.75" x14ac:dyDescent="0.3">
      <c r="B103" s="273" t="s">
        <v>448</v>
      </c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5"/>
    </row>
    <row r="104" spans="2:14" x14ac:dyDescent="0.25">
      <c r="B104" s="300">
        <f>(C98+B101)/12</f>
        <v>199769.42737500006</v>
      </c>
      <c r="C104" s="301"/>
      <c r="D104" s="301"/>
      <c r="E104" s="301"/>
      <c r="F104" s="301"/>
      <c r="G104" s="301"/>
      <c r="H104" s="301"/>
      <c r="I104" s="301"/>
      <c r="J104" s="301"/>
      <c r="K104" s="301"/>
      <c r="L104" s="301"/>
      <c r="M104" s="301"/>
      <c r="N104" s="302"/>
    </row>
    <row r="105" spans="2:14" x14ac:dyDescent="0.25">
      <c r="B105" s="303"/>
      <c r="C105" s="304"/>
      <c r="D105" s="304"/>
      <c r="E105" s="304"/>
      <c r="F105" s="304"/>
      <c r="G105" s="304"/>
      <c r="H105" s="304"/>
      <c r="I105" s="304"/>
      <c r="J105" s="304"/>
      <c r="K105" s="304"/>
      <c r="L105" s="304"/>
      <c r="M105" s="304"/>
      <c r="N105" s="305"/>
    </row>
    <row r="106" spans="2:14" x14ac:dyDescent="0.25">
      <c r="B106" s="303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5"/>
    </row>
    <row r="107" spans="2:14" x14ac:dyDescent="0.25">
      <c r="B107" s="306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8"/>
    </row>
  </sheetData>
  <mergeCells count="380">
    <mergeCell ref="B94:N94"/>
    <mergeCell ref="C95:N95"/>
    <mergeCell ref="C96:N96"/>
    <mergeCell ref="C97:N97"/>
    <mergeCell ref="C98:N98"/>
    <mergeCell ref="B103:N103"/>
    <mergeCell ref="B104:N107"/>
    <mergeCell ref="B100:N100"/>
    <mergeCell ref="B101:N101"/>
    <mergeCell ref="E91:F91"/>
    <mergeCell ref="G91:H91"/>
    <mergeCell ref="I91:J91"/>
    <mergeCell ref="K91:L91"/>
    <mergeCell ref="M91:N91"/>
    <mergeCell ref="C92:D92"/>
    <mergeCell ref="E92:F92"/>
    <mergeCell ref="G92:H92"/>
    <mergeCell ref="I92:J92"/>
    <mergeCell ref="K92:L92"/>
    <mergeCell ref="M92:N92"/>
    <mergeCell ref="E89:F89"/>
    <mergeCell ref="G89:H89"/>
    <mergeCell ref="I89:J89"/>
    <mergeCell ref="K89:L89"/>
    <mergeCell ref="M89:N89"/>
    <mergeCell ref="E90:F90"/>
    <mergeCell ref="G90:H90"/>
    <mergeCell ref="I90:J90"/>
    <mergeCell ref="K90:L90"/>
    <mergeCell ref="M90:N90"/>
    <mergeCell ref="E87:F87"/>
    <mergeCell ref="G87:H87"/>
    <mergeCell ref="I87:J87"/>
    <mergeCell ref="K87:L87"/>
    <mergeCell ref="M87:N87"/>
    <mergeCell ref="E88:F88"/>
    <mergeCell ref="G88:H88"/>
    <mergeCell ref="I88:J88"/>
    <mergeCell ref="K88:L88"/>
    <mergeCell ref="M88:N88"/>
    <mergeCell ref="G85:H85"/>
    <mergeCell ref="I85:J85"/>
    <mergeCell ref="K85:L85"/>
    <mergeCell ref="M85:N85"/>
    <mergeCell ref="E86:F86"/>
    <mergeCell ref="G86:H86"/>
    <mergeCell ref="I86:J86"/>
    <mergeCell ref="K86:L86"/>
    <mergeCell ref="M86:N86"/>
    <mergeCell ref="C89:D89"/>
    <mergeCell ref="C90:D90"/>
    <mergeCell ref="C91:D91"/>
    <mergeCell ref="E81:F81"/>
    <mergeCell ref="G81:H81"/>
    <mergeCell ref="I81:J81"/>
    <mergeCell ref="K81:L81"/>
    <mergeCell ref="M81:N81"/>
    <mergeCell ref="E82:F82"/>
    <mergeCell ref="G82:H82"/>
    <mergeCell ref="I82:J82"/>
    <mergeCell ref="K82:L82"/>
    <mergeCell ref="M82:N82"/>
    <mergeCell ref="E83:F83"/>
    <mergeCell ref="G83:H83"/>
    <mergeCell ref="I83:J83"/>
    <mergeCell ref="K83:L83"/>
    <mergeCell ref="M83:N83"/>
    <mergeCell ref="E84:F84"/>
    <mergeCell ref="G84:H84"/>
    <mergeCell ref="I84:J84"/>
    <mergeCell ref="K84:L84"/>
    <mergeCell ref="M84:N84"/>
    <mergeCell ref="E85:F85"/>
    <mergeCell ref="K79:L79"/>
    <mergeCell ref="M79:N79"/>
    <mergeCell ref="C80:D80"/>
    <mergeCell ref="E80:F80"/>
    <mergeCell ref="G80:H80"/>
    <mergeCell ref="I80:J80"/>
    <mergeCell ref="K80:L80"/>
    <mergeCell ref="M80:N80"/>
    <mergeCell ref="C81:D81"/>
    <mergeCell ref="C79:D79"/>
    <mergeCell ref="E79:F79"/>
    <mergeCell ref="G79:H79"/>
    <mergeCell ref="I79:J79"/>
    <mergeCell ref="B2:B4"/>
    <mergeCell ref="C2:H2"/>
    <mergeCell ref="I2:N2"/>
    <mergeCell ref="C3:E4"/>
    <mergeCell ref="F3:H3"/>
    <mergeCell ref="I3:J4"/>
    <mergeCell ref="K3:L4"/>
    <mergeCell ref="M3:N4"/>
    <mergeCell ref="C7:E7"/>
    <mergeCell ref="I7:J7"/>
    <mergeCell ref="K7:L7"/>
    <mergeCell ref="M7:N7"/>
    <mergeCell ref="C8:E8"/>
    <mergeCell ref="I8:J8"/>
    <mergeCell ref="K8:L8"/>
    <mergeCell ref="M8:N8"/>
    <mergeCell ref="C5:E5"/>
    <mergeCell ref="I5:J5"/>
    <mergeCell ref="K5:L5"/>
    <mergeCell ref="M5:N5"/>
    <mergeCell ref="C6:E6"/>
    <mergeCell ref="I6:J6"/>
    <mergeCell ref="K6:L6"/>
    <mergeCell ref="M6:N6"/>
    <mergeCell ref="C9:E9"/>
    <mergeCell ref="I9:J9"/>
    <mergeCell ref="K9:L9"/>
    <mergeCell ref="M9:N9"/>
    <mergeCell ref="C11:E11"/>
    <mergeCell ref="I11:J11"/>
    <mergeCell ref="K11:L11"/>
    <mergeCell ref="M11:N11"/>
    <mergeCell ref="C10:E10"/>
    <mergeCell ref="I10:J10"/>
    <mergeCell ref="K10:L10"/>
    <mergeCell ref="M10:N10"/>
    <mergeCell ref="C18:E18"/>
    <mergeCell ref="I18:J18"/>
    <mergeCell ref="K18:L18"/>
    <mergeCell ref="M18:N18"/>
    <mergeCell ref="C13:E13"/>
    <mergeCell ref="I13:J13"/>
    <mergeCell ref="K13:L13"/>
    <mergeCell ref="M13:N13"/>
    <mergeCell ref="C15:E15"/>
    <mergeCell ref="I15:J15"/>
    <mergeCell ref="K15:L15"/>
    <mergeCell ref="M15:N15"/>
    <mergeCell ref="C25:E25"/>
    <mergeCell ref="I25:J25"/>
    <mergeCell ref="K25:L25"/>
    <mergeCell ref="M25:N25"/>
    <mergeCell ref="C23:E23"/>
    <mergeCell ref="C19:E19"/>
    <mergeCell ref="C20:E20"/>
    <mergeCell ref="I20:J20"/>
    <mergeCell ref="K20:L20"/>
    <mergeCell ref="M20:N20"/>
    <mergeCell ref="C22:E22"/>
    <mergeCell ref="I22:J22"/>
    <mergeCell ref="K22:L22"/>
    <mergeCell ref="M22:N22"/>
    <mergeCell ref="K21:L21"/>
    <mergeCell ref="M21:N21"/>
    <mergeCell ref="K24:L24"/>
    <mergeCell ref="M24:N24"/>
    <mergeCell ref="K23:L23"/>
    <mergeCell ref="M23:N23"/>
    <mergeCell ref="C26:E26"/>
    <mergeCell ref="I26:J26"/>
    <mergeCell ref="K26:L26"/>
    <mergeCell ref="M26:N26"/>
    <mergeCell ref="C28:E28"/>
    <mergeCell ref="I28:J28"/>
    <mergeCell ref="K28:L28"/>
    <mergeCell ref="M28:N28"/>
    <mergeCell ref="K27:L27"/>
    <mergeCell ref="M27:N27"/>
    <mergeCell ref="K32:L32"/>
    <mergeCell ref="M32:N32"/>
    <mergeCell ref="C35:E35"/>
    <mergeCell ref="I35:J35"/>
    <mergeCell ref="K35:L35"/>
    <mergeCell ref="C32:E32"/>
    <mergeCell ref="C30:E30"/>
    <mergeCell ref="I30:J30"/>
    <mergeCell ref="K30:L30"/>
    <mergeCell ref="M30:N30"/>
    <mergeCell ref="C31:E31"/>
    <mergeCell ref="I31:J31"/>
    <mergeCell ref="K31:L31"/>
    <mergeCell ref="M31:N31"/>
    <mergeCell ref="M35:N35"/>
    <mergeCell ref="I36:J36"/>
    <mergeCell ref="K36:L36"/>
    <mergeCell ref="M36:N36"/>
    <mergeCell ref="C38:E38"/>
    <mergeCell ref="F38:G38"/>
    <mergeCell ref="K37:L37"/>
    <mergeCell ref="M37:N37"/>
    <mergeCell ref="K43:L43"/>
    <mergeCell ref="M43:N43"/>
    <mergeCell ref="K44:L44"/>
    <mergeCell ref="M44:N44"/>
    <mergeCell ref="K45:L45"/>
    <mergeCell ref="M45:N45"/>
    <mergeCell ref="K46:L46"/>
    <mergeCell ref="M46:N46"/>
    <mergeCell ref="C47:E47"/>
    <mergeCell ref="I47:J47"/>
    <mergeCell ref="B77:N77"/>
    <mergeCell ref="M50:N50"/>
    <mergeCell ref="K51:L51"/>
    <mergeCell ref="M51:N51"/>
    <mergeCell ref="K52:L52"/>
    <mergeCell ref="M52:N52"/>
    <mergeCell ref="K53:L53"/>
    <mergeCell ref="M53:N53"/>
    <mergeCell ref="C54:E54"/>
    <mergeCell ref="I54:J54"/>
    <mergeCell ref="K54:L54"/>
    <mergeCell ref="M54:N54"/>
    <mergeCell ref="C55:E55"/>
    <mergeCell ref="I55:J55"/>
    <mergeCell ref="K55:L55"/>
    <mergeCell ref="M55:N55"/>
    <mergeCell ref="C78:H78"/>
    <mergeCell ref="I78:N78"/>
    <mergeCell ref="C27:E27"/>
    <mergeCell ref="I27:J27"/>
    <mergeCell ref="I29:J29"/>
    <mergeCell ref="B37:E37"/>
    <mergeCell ref="I37:J37"/>
    <mergeCell ref="C43:E43"/>
    <mergeCell ref="I43:J43"/>
    <mergeCell ref="C44:E44"/>
    <mergeCell ref="I44:J44"/>
    <mergeCell ref="I32:J32"/>
    <mergeCell ref="C36:E36"/>
    <mergeCell ref="C45:E45"/>
    <mergeCell ref="I45:J45"/>
    <mergeCell ref="C46:E46"/>
    <mergeCell ref="I46:J46"/>
    <mergeCell ref="K47:L47"/>
    <mergeCell ref="M47:N47"/>
    <mergeCell ref="K48:L48"/>
    <mergeCell ref="M48:N48"/>
    <mergeCell ref="K49:L49"/>
    <mergeCell ref="M49:N49"/>
    <mergeCell ref="K50:L50"/>
    <mergeCell ref="C82:D82"/>
    <mergeCell ref="C83:D83"/>
    <mergeCell ref="C84:D84"/>
    <mergeCell ref="C85:D85"/>
    <mergeCell ref="C86:D86"/>
    <mergeCell ref="C87:D87"/>
    <mergeCell ref="C88:D88"/>
    <mergeCell ref="C21:E21"/>
    <mergeCell ref="I21:J21"/>
    <mergeCell ref="C24:E24"/>
    <mergeCell ref="I24:J24"/>
    <mergeCell ref="I23:J23"/>
    <mergeCell ref="C48:E48"/>
    <mergeCell ref="I48:J48"/>
    <mergeCell ref="C49:E49"/>
    <mergeCell ref="I49:J49"/>
    <mergeCell ref="C50:E50"/>
    <mergeCell ref="I50:J50"/>
    <mergeCell ref="C51:E51"/>
    <mergeCell ref="I51:J51"/>
    <mergeCell ref="C52:E52"/>
    <mergeCell ref="I52:J52"/>
    <mergeCell ref="C53:E53"/>
    <mergeCell ref="I53:J53"/>
    <mergeCell ref="C12:E12"/>
    <mergeCell ref="I12:J12"/>
    <mergeCell ref="K12:L12"/>
    <mergeCell ref="M12:N12"/>
    <mergeCell ref="C14:E14"/>
    <mergeCell ref="I14:J14"/>
    <mergeCell ref="K14:L14"/>
    <mergeCell ref="M14:N14"/>
    <mergeCell ref="C17:E17"/>
    <mergeCell ref="I17:J17"/>
    <mergeCell ref="K17:L17"/>
    <mergeCell ref="M17:N17"/>
    <mergeCell ref="C16:E16"/>
    <mergeCell ref="I16:J16"/>
    <mergeCell ref="K16:L16"/>
    <mergeCell ref="M16:N16"/>
    <mergeCell ref="B1:N1"/>
    <mergeCell ref="B39:N39"/>
    <mergeCell ref="B40:B42"/>
    <mergeCell ref="C40:H40"/>
    <mergeCell ref="I40:N40"/>
    <mergeCell ref="C41:E42"/>
    <mergeCell ref="F41:H41"/>
    <mergeCell ref="I41:J42"/>
    <mergeCell ref="K41:L42"/>
    <mergeCell ref="M41:N42"/>
    <mergeCell ref="K29:L29"/>
    <mergeCell ref="M29:N29"/>
    <mergeCell ref="C29:E29"/>
    <mergeCell ref="C33:E33"/>
    <mergeCell ref="C34:E34"/>
    <mergeCell ref="I33:J33"/>
    <mergeCell ref="I34:J34"/>
    <mergeCell ref="K33:L33"/>
    <mergeCell ref="K34:L34"/>
    <mergeCell ref="M33:N33"/>
    <mergeCell ref="M34:N34"/>
    <mergeCell ref="I19:J19"/>
    <mergeCell ref="K19:L19"/>
    <mergeCell ref="M19:N19"/>
    <mergeCell ref="C56:E56"/>
    <mergeCell ref="I56:J56"/>
    <mergeCell ref="K56:L56"/>
    <mergeCell ref="M56:N56"/>
    <mergeCell ref="C57:E57"/>
    <mergeCell ref="I57:J57"/>
    <mergeCell ref="K57:L57"/>
    <mergeCell ref="M57:N57"/>
    <mergeCell ref="C58:E58"/>
    <mergeCell ref="I58:J58"/>
    <mergeCell ref="K58:L58"/>
    <mergeCell ref="M58:N58"/>
    <mergeCell ref="C59:E59"/>
    <mergeCell ref="I59:J59"/>
    <mergeCell ref="K59:L59"/>
    <mergeCell ref="M59:N59"/>
    <mergeCell ref="C60:E60"/>
    <mergeCell ref="I60:J60"/>
    <mergeCell ref="K60:L60"/>
    <mergeCell ref="M60:N60"/>
    <mergeCell ref="C61:E61"/>
    <mergeCell ref="I61:J61"/>
    <mergeCell ref="K61:L61"/>
    <mergeCell ref="M61:N61"/>
    <mergeCell ref="C62:E62"/>
    <mergeCell ref="I62:J62"/>
    <mergeCell ref="K62:L62"/>
    <mergeCell ref="M62:N62"/>
    <mergeCell ref="C63:E63"/>
    <mergeCell ref="I63:J63"/>
    <mergeCell ref="K63:L63"/>
    <mergeCell ref="M63:N63"/>
    <mergeCell ref="C64:E64"/>
    <mergeCell ref="I64:J64"/>
    <mergeCell ref="K64:L64"/>
    <mergeCell ref="M64:N64"/>
    <mergeCell ref="C65:E65"/>
    <mergeCell ref="I65:J65"/>
    <mergeCell ref="K65:L65"/>
    <mergeCell ref="M65:N65"/>
    <mergeCell ref="C66:E66"/>
    <mergeCell ref="I66:J66"/>
    <mergeCell ref="K66:L66"/>
    <mergeCell ref="M66:N66"/>
    <mergeCell ref="C67:E67"/>
    <mergeCell ref="I67:J67"/>
    <mergeCell ref="K67:L67"/>
    <mergeCell ref="M67:N67"/>
    <mergeCell ref="C68:E68"/>
    <mergeCell ref="I68:J68"/>
    <mergeCell ref="K68:L68"/>
    <mergeCell ref="M68:N68"/>
    <mergeCell ref="C69:E69"/>
    <mergeCell ref="I69:J69"/>
    <mergeCell ref="K69:L69"/>
    <mergeCell ref="M69:N69"/>
    <mergeCell ref="C70:E70"/>
    <mergeCell ref="I70:J70"/>
    <mergeCell ref="K70:L70"/>
    <mergeCell ref="M70:N70"/>
    <mergeCell ref="C74:E74"/>
    <mergeCell ref="I74:J74"/>
    <mergeCell ref="K74:L74"/>
    <mergeCell ref="M74:N74"/>
    <mergeCell ref="B75:E75"/>
    <mergeCell ref="I75:J75"/>
    <mergeCell ref="K75:L75"/>
    <mergeCell ref="M75:N75"/>
    <mergeCell ref="C71:E71"/>
    <mergeCell ref="I71:J71"/>
    <mergeCell ref="K71:L71"/>
    <mergeCell ref="M71:N71"/>
    <mergeCell ref="C72:E72"/>
    <mergeCell ref="I72:J72"/>
    <mergeCell ref="K72:L72"/>
    <mergeCell ref="M72:N72"/>
    <mergeCell ref="C73:E73"/>
    <mergeCell ref="I73:J73"/>
    <mergeCell ref="K73:L73"/>
    <mergeCell ref="M73:N73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8"/>
  <sheetViews>
    <sheetView workbookViewId="0">
      <selection activeCell="U91" sqref="U91"/>
    </sheetView>
  </sheetViews>
  <sheetFormatPr defaultRowHeight="15" x14ac:dyDescent="0.25"/>
  <cols>
    <col min="1" max="33" width="5.5703125" customWidth="1"/>
  </cols>
  <sheetData>
    <row r="1" spans="1:29" ht="18" customHeight="1" x14ac:dyDescent="0.3">
      <c r="A1" s="545" t="s">
        <v>100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7"/>
    </row>
    <row r="2" spans="1:29" ht="18" customHeight="1" x14ac:dyDescent="0.25">
      <c r="A2" s="776" t="s">
        <v>101</v>
      </c>
      <c r="B2" s="777"/>
      <c r="C2" s="777"/>
      <c r="D2" s="777"/>
      <c r="E2" s="777"/>
      <c r="F2" s="777"/>
      <c r="G2" s="777"/>
      <c r="H2" s="777"/>
      <c r="I2" s="777"/>
      <c r="J2" s="778">
        <v>0.02</v>
      </c>
      <c r="K2" s="778"/>
      <c r="L2" s="779"/>
    </row>
    <row r="3" spans="1:29" ht="18" customHeight="1" x14ac:dyDescent="0.25">
      <c r="A3" s="780" t="s">
        <v>102</v>
      </c>
      <c r="B3" s="781"/>
      <c r="C3" s="781"/>
      <c r="D3" s="781"/>
      <c r="E3" s="781"/>
      <c r="F3" s="781"/>
      <c r="G3" s="781"/>
      <c r="H3" s="781"/>
      <c r="I3" s="781"/>
      <c r="J3" s="782">
        <v>3.5000000000000003E-2</v>
      </c>
      <c r="K3" s="782"/>
      <c r="L3" s="783"/>
    </row>
    <row r="4" spans="1:29" ht="18" customHeight="1" x14ac:dyDescent="0.3">
      <c r="A4" s="773" t="s">
        <v>100</v>
      </c>
      <c r="B4" s="774"/>
      <c r="C4" s="774"/>
      <c r="D4" s="774"/>
      <c r="E4" s="774"/>
      <c r="F4" s="774"/>
      <c r="G4" s="774"/>
      <c r="H4" s="774"/>
      <c r="I4" s="775"/>
      <c r="J4" s="772">
        <f>(J2+J3)/(1-(J2+J3))*('CUSTO VARIÁVEL'!B67+'CUSTO FIXO'!B176+'REMUN. PREST. DOS SERVIÇOS'!J3)</f>
        <v>110842.62124202204</v>
      </c>
      <c r="K4" s="772"/>
      <c r="L4" s="772"/>
    </row>
    <row r="6" spans="1:29" ht="14.65" customHeight="1" x14ac:dyDescent="0.25">
      <c r="A6" s="766" t="s">
        <v>106</v>
      </c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8"/>
      <c r="M6" s="53"/>
      <c r="N6" s="54"/>
      <c r="O6" s="54"/>
      <c r="P6" s="54"/>
      <c r="Q6" s="54"/>
      <c r="R6" s="54"/>
      <c r="S6" s="54"/>
      <c r="T6" s="54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5">
      <c r="A7" s="769"/>
      <c r="B7" s="770"/>
      <c r="C7" s="770"/>
      <c r="D7" s="770"/>
      <c r="E7" s="770"/>
      <c r="F7" s="770"/>
      <c r="G7" s="770"/>
      <c r="H7" s="770"/>
      <c r="I7" s="770"/>
      <c r="J7" s="770"/>
      <c r="K7" s="770"/>
      <c r="L7" s="771"/>
      <c r="M7" s="53"/>
      <c r="N7" s="54"/>
      <c r="O7" s="54"/>
      <c r="P7" s="54"/>
      <c r="Q7" s="54"/>
      <c r="R7" s="54"/>
      <c r="S7" s="54"/>
      <c r="T7" s="54"/>
      <c r="U7" s="31"/>
      <c r="V7" s="31"/>
      <c r="W7" s="31"/>
      <c r="X7" s="31"/>
      <c r="Y7" s="31"/>
      <c r="Z7" s="31"/>
      <c r="AA7" s="31"/>
      <c r="AB7" s="31"/>
      <c r="AC7" s="31"/>
    </row>
    <row r="8" spans="1:29" x14ac:dyDescent="0.25"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</sheetData>
  <mergeCells count="8">
    <mergeCell ref="A6:L7"/>
    <mergeCell ref="J4:L4"/>
    <mergeCell ref="A4:I4"/>
    <mergeCell ref="A1:L1"/>
    <mergeCell ref="A2:I2"/>
    <mergeCell ref="J2:L2"/>
    <mergeCell ref="A3:I3"/>
    <mergeCell ref="J3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8"/>
  <sheetViews>
    <sheetView workbookViewId="0">
      <selection activeCell="W14" sqref="W14"/>
    </sheetView>
  </sheetViews>
  <sheetFormatPr defaultRowHeight="15" x14ac:dyDescent="0.25"/>
  <cols>
    <col min="1" max="9" width="5.7109375" customWidth="1"/>
    <col min="10" max="15" width="5.5703125" customWidth="1"/>
    <col min="16" max="16" width="22.42578125" customWidth="1"/>
    <col min="17" max="33" width="5.5703125" customWidth="1"/>
  </cols>
  <sheetData>
    <row r="1" spans="1:16" s="9" customFormat="1" ht="30" customHeight="1" x14ac:dyDescent="0.25">
      <c r="A1" s="797" t="s">
        <v>103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9"/>
    </row>
    <row r="2" spans="1:16" ht="25.15" customHeight="1" x14ac:dyDescent="0.25">
      <c r="A2" s="805" t="s">
        <v>26</v>
      </c>
      <c r="B2" s="806"/>
      <c r="C2" s="806"/>
      <c r="D2" s="806"/>
      <c r="E2" s="806"/>
      <c r="F2" s="806"/>
      <c r="G2" s="806"/>
      <c r="H2" s="806"/>
      <c r="I2" s="806"/>
      <c r="J2" s="807">
        <f>'CUSTO VARIÁVEL'!B67</f>
        <v>680583.4746144684</v>
      </c>
      <c r="K2" s="743"/>
      <c r="L2" s="808"/>
    </row>
    <row r="3" spans="1:16" ht="25.15" customHeight="1" x14ac:dyDescent="0.25">
      <c r="A3" s="803" t="s">
        <v>99</v>
      </c>
      <c r="B3" s="804"/>
      <c r="C3" s="804"/>
      <c r="D3" s="804"/>
      <c r="E3" s="804"/>
      <c r="F3" s="804"/>
      <c r="G3" s="804"/>
      <c r="H3" s="804"/>
      <c r="I3" s="804"/>
      <c r="J3" s="800">
        <f>'CUSTO FIXO'!B176</f>
        <v>1094160.505421465</v>
      </c>
      <c r="K3" s="801"/>
      <c r="L3" s="802"/>
    </row>
    <row r="4" spans="1:16" ht="25.15" customHeight="1" x14ac:dyDescent="0.25">
      <c r="A4" s="803" t="s">
        <v>511</v>
      </c>
      <c r="B4" s="804"/>
      <c r="C4" s="804"/>
      <c r="D4" s="804"/>
      <c r="E4" s="804"/>
      <c r="F4" s="804"/>
      <c r="G4" s="804"/>
      <c r="H4" s="804"/>
      <c r="I4" s="804"/>
      <c r="J4" s="800">
        <f>'REMUN. PREST. DOS SERVIÇOS'!J4</f>
        <v>129733.78494062673</v>
      </c>
      <c r="K4" s="801"/>
      <c r="L4" s="802"/>
    </row>
    <row r="5" spans="1:16" ht="25.15" customHeight="1" x14ac:dyDescent="0.25">
      <c r="A5" s="803" t="s">
        <v>100</v>
      </c>
      <c r="B5" s="804"/>
      <c r="C5" s="804"/>
      <c r="D5" s="804"/>
      <c r="E5" s="804"/>
      <c r="F5" s="804"/>
      <c r="G5" s="804"/>
      <c r="H5" s="804"/>
      <c r="I5" s="804"/>
      <c r="J5" s="800">
        <f>TRIBUTAÇÃO!J4</f>
        <v>110842.62124202204</v>
      </c>
      <c r="K5" s="801"/>
      <c r="L5" s="802"/>
    </row>
    <row r="6" spans="1:16" ht="25.15" customHeight="1" x14ac:dyDescent="0.25">
      <c r="A6" s="803" t="s">
        <v>107</v>
      </c>
      <c r="B6" s="804"/>
      <c r="C6" s="804"/>
      <c r="D6" s="804"/>
      <c r="E6" s="804"/>
      <c r="F6" s="804"/>
      <c r="G6" s="804"/>
      <c r="H6" s="804"/>
      <c r="I6" s="804"/>
      <c r="J6" s="809">
        <v>0</v>
      </c>
      <c r="K6" s="809"/>
      <c r="L6" s="810"/>
    </row>
    <row r="7" spans="1:16" ht="25.15" customHeight="1" x14ac:dyDescent="0.25">
      <c r="A7" s="803" t="s">
        <v>105</v>
      </c>
      <c r="B7" s="804"/>
      <c r="C7" s="804"/>
      <c r="D7" s="804"/>
      <c r="E7" s="804"/>
      <c r="F7" s="804"/>
      <c r="G7" s="804"/>
      <c r="H7" s="804"/>
      <c r="I7" s="804"/>
      <c r="J7" s="800">
        <f>PASSAGEIROS!J52</f>
        <v>1272087.2666666666</v>
      </c>
      <c r="K7" s="801"/>
      <c r="L7" s="802"/>
    </row>
    <row r="8" spans="1:16" ht="25.15" customHeight="1" x14ac:dyDescent="0.25">
      <c r="A8" s="793" t="s">
        <v>108</v>
      </c>
      <c r="B8" s="794"/>
      <c r="C8" s="794"/>
      <c r="D8" s="794"/>
      <c r="E8" s="794"/>
      <c r="F8" s="794"/>
      <c r="G8" s="794"/>
      <c r="H8" s="794"/>
      <c r="I8" s="794"/>
      <c r="J8" s="795">
        <v>5</v>
      </c>
      <c r="K8" s="749"/>
      <c r="L8" s="796"/>
      <c r="P8" s="31">
        <f>J2+J3+J5+J4</f>
        <v>2015320.3862185823</v>
      </c>
    </row>
    <row r="9" spans="1:16" ht="20.100000000000001" customHeight="1" x14ac:dyDescent="0.25">
      <c r="A9" s="12"/>
      <c r="B9" s="10"/>
      <c r="C9" s="10"/>
      <c r="D9" s="784">
        <f>(J2+J3+J4+J5-J6)/(J7/J8)</f>
        <v>7.9213134154681777</v>
      </c>
      <c r="E9" s="785"/>
      <c r="F9" s="785"/>
      <c r="G9" s="785"/>
      <c r="H9" s="785"/>
      <c r="I9" s="786"/>
      <c r="J9" s="10"/>
      <c r="K9" s="10"/>
      <c r="L9" s="12"/>
    </row>
    <row r="10" spans="1:16" ht="15" customHeight="1" x14ac:dyDescent="0.25">
      <c r="B10" s="11"/>
      <c r="C10" s="11"/>
      <c r="D10" s="787"/>
      <c r="E10" s="788"/>
      <c r="F10" s="788"/>
      <c r="G10" s="788"/>
      <c r="H10" s="788"/>
      <c r="I10" s="789"/>
      <c r="J10" s="11"/>
      <c r="K10" s="11"/>
    </row>
    <row r="11" spans="1:16" ht="15" customHeight="1" x14ac:dyDescent="0.25">
      <c r="B11" s="11"/>
      <c r="C11" s="11"/>
      <c r="D11" s="790"/>
      <c r="E11" s="791"/>
      <c r="F11" s="791"/>
      <c r="G11" s="791"/>
      <c r="H11" s="791"/>
      <c r="I11" s="792"/>
      <c r="J11" s="11"/>
      <c r="K11" s="11"/>
    </row>
    <row r="12" spans="1:16" ht="1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4" spans="1:16" x14ac:dyDescent="0.25">
      <c r="P14" s="31">
        <f>J7/J8</f>
        <v>254417.45333333331</v>
      </c>
    </row>
    <row r="18" spans="19:19" x14ac:dyDescent="0.25">
      <c r="S18" s="13"/>
    </row>
  </sheetData>
  <mergeCells count="16">
    <mergeCell ref="D9:I11"/>
    <mergeCell ref="A8:I8"/>
    <mergeCell ref="J8:L8"/>
    <mergeCell ref="A1:L1"/>
    <mergeCell ref="J5:L5"/>
    <mergeCell ref="A5:I5"/>
    <mergeCell ref="A7:I7"/>
    <mergeCell ref="J7:L7"/>
    <mergeCell ref="A2:I2"/>
    <mergeCell ref="A3:I3"/>
    <mergeCell ref="J2:L2"/>
    <mergeCell ref="J3:L3"/>
    <mergeCell ref="A4:I4"/>
    <mergeCell ref="J4:L4"/>
    <mergeCell ref="A6:I6"/>
    <mergeCell ref="J6:L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8"/>
  <sheetViews>
    <sheetView workbookViewId="0">
      <selection activeCell="O31" sqref="O31"/>
    </sheetView>
  </sheetViews>
  <sheetFormatPr defaultRowHeight="15" x14ac:dyDescent="0.25"/>
  <cols>
    <col min="1" max="10" width="8.5703125" customWidth="1"/>
    <col min="15" max="15" width="28.42578125" customWidth="1"/>
    <col min="16" max="16" width="23.28515625" customWidth="1"/>
  </cols>
  <sheetData>
    <row r="1" spans="1:18" ht="21" x14ac:dyDescent="0.35">
      <c r="A1" s="831" t="s">
        <v>121</v>
      </c>
      <c r="B1" s="831"/>
      <c r="C1" s="831"/>
      <c r="D1" s="831"/>
      <c r="E1" s="831"/>
      <c r="F1" s="831"/>
      <c r="G1" s="831"/>
      <c r="H1" s="831"/>
      <c r="I1" s="831"/>
      <c r="J1" s="831"/>
    </row>
    <row r="2" spans="1:18" ht="12" customHeight="1" x14ac:dyDescent="0.25">
      <c r="F2" s="835" t="s">
        <v>521</v>
      </c>
      <c r="G2" s="836"/>
      <c r="H2" s="836"/>
      <c r="I2" s="836"/>
      <c r="J2" s="837"/>
    </row>
    <row r="3" spans="1:18" ht="12" customHeight="1" x14ac:dyDescent="0.25">
      <c r="H3" s="1"/>
      <c r="I3" s="1"/>
      <c r="J3" s="1"/>
    </row>
    <row r="4" spans="1:18" ht="17.100000000000001" customHeight="1" x14ac:dyDescent="0.3">
      <c r="A4" s="832" t="s">
        <v>122</v>
      </c>
      <c r="B4" s="832"/>
      <c r="C4" s="832"/>
      <c r="D4" s="832"/>
      <c r="E4" s="832"/>
      <c r="F4" s="832"/>
      <c r="G4" s="832"/>
      <c r="H4" s="832"/>
      <c r="I4" s="832"/>
      <c r="J4" s="832"/>
    </row>
    <row r="5" spans="1:18" ht="12" customHeight="1" thickBo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8" ht="15" customHeight="1" thickTop="1" thickBot="1" x14ac:dyDescent="0.3">
      <c r="A6" s="815" t="s">
        <v>123</v>
      </c>
      <c r="B6" s="815"/>
      <c r="C6" s="815"/>
      <c r="D6" s="815"/>
      <c r="E6" s="815"/>
      <c r="F6" s="815"/>
      <c r="G6" s="815"/>
      <c r="H6" s="815"/>
      <c r="I6" s="815"/>
      <c r="J6" s="815"/>
    </row>
    <row r="7" spans="1:18" ht="16.5" thickTop="1" x14ac:dyDescent="0.25">
      <c r="A7" s="828" t="s">
        <v>460</v>
      </c>
      <c r="B7" s="828"/>
      <c r="C7" s="828"/>
      <c r="D7" s="828"/>
      <c r="E7" s="828"/>
      <c r="F7" s="828"/>
      <c r="G7" s="828"/>
      <c r="H7" s="828"/>
      <c r="I7" s="829">
        <f>'KM PROGRAMADA'!B104</f>
        <v>199769.42737500006</v>
      </c>
      <c r="J7" s="829"/>
    </row>
    <row r="8" spans="1:18" ht="8.1" customHeight="1" thickBot="1" x14ac:dyDescent="0.3">
      <c r="A8" s="833"/>
      <c r="B8" s="833"/>
      <c r="C8" s="833"/>
      <c r="D8" s="833"/>
      <c r="E8" s="833"/>
      <c r="F8" s="833"/>
      <c r="G8" s="833"/>
      <c r="H8" s="833"/>
      <c r="I8" s="833"/>
      <c r="J8" s="833"/>
    </row>
    <row r="9" spans="1:18" ht="15" customHeight="1" thickTop="1" thickBot="1" x14ac:dyDescent="0.3">
      <c r="A9" s="815" t="s">
        <v>124</v>
      </c>
      <c r="B9" s="815"/>
      <c r="C9" s="815"/>
      <c r="D9" s="815"/>
      <c r="E9" s="815"/>
      <c r="F9" s="815"/>
      <c r="G9" s="815"/>
      <c r="H9" s="815"/>
      <c r="I9" s="815"/>
      <c r="J9" s="815"/>
    </row>
    <row r="10" spans="1:18" ht="16.5" thickTop="1" x14ac:dyDescent="0.25">
      <c r="A10" s="828" t="s">
        <v>459</v>
      </c>
      <c r="B10" s="828"/>
      <c r="C10" s="828"/>
      <c r="D10" s="828"/>
      <c r="E10" s="828"/>
      <c r="F10" s="828"/>
      <c r="G10" s="828"/>
      <c r="H10" s="828"/>
      <c r="I10" s="834">
        <f>PASSAGEIROS!I56</f>
        <v>340167.5</v>
      </c>
      <c r="J10" s="834"/>
      <c r="R10" s="256"/>
    </row>
    <row r="11" spans="1:18" ht="8.1" customHeight="1" thickBot="1" x14ac:dyDescent="0.3">
      <c r="A11" s="16"/>
      <c r="B11" s="17"/>
      <c r="C11" s="17"/>
      <c r="D11" s="17"/>
      <c r="E11" s="17"/>
      <c r="F11" s="17"/>
      <c r="G11" s="17"/>
      <c r="H11" s="17"/>
      <c r="I11" s="18"/>
      <c r="J11" s="19"/>
    </row>
    <row r="12" spans="1:18" ht="15" customHeight="1" thickTop="1" thickBot="1" x14ac:dyDescent="0.3">
      <c r="A12" s="815" t="s">
        <v>375</v>
      </c>
      <c r="B12" s="815"/>
      <c r="C12" s="815"/>
      <c r="D12" s="815"/>
      <c r="E12" s="815"/>
      <c r="F12" s="815"/>
      <c r="G12" s="815"/>
      <c r="H12" s="815"/>
      <c r="I12" s="815"/>
      <c r="J12" s="815"/>
      <c r="O12" s="762"/>
      <c r="P12" s="816"/>
      <c r="Q12" s="816"/>
    </row>
    <row r="13" spans="1:18" ht="16.5" thickTop="1" x14ac:dyDescent="0.25">
      <c r="A13" s="817" t="s">
        <v>461</v>
      </c>
      <c r="B13" s="817"/>
      <c r="C13" s="817"/>
      <c r="D13" s="817"/>
      <c r="E13" s="817"/>
      <c r="F13" s="817"/>
      <c r="G13" s="817"/>
      <c r="H13" s="817"/>
      <c r="I13" s="818">
        <f>I28+I45+I49+I53</f>
        <v>2015320.3862185823</v>
      </c>
      <c r="J13" s="819"/>
    </row>
    <row r="14" spans="1:18" ht="5.0999999999999996" customHeight="1" thickBot="1" x14ac:dyDescent="0.3">
      <c r="A14" s="142"/>
      <c r="B14" s="142"/>
      <c r="C14" s="142"/>
      <c r="D14" s="142"/>
      <c r="E14" s="142"/>
      <c r="F14" s="142"/>
      <c r="G14" s="142"/>
      <c r="H14" s="142"/>
      <c r="I14" s="143"/>
      <c r="J14" s="144"/>
    </row>
    <row r="15" spans="1:18" ht="17.25" thickTop="1" thickBot="1" x14ac:dyDescent="0.3">
      <c r="A15" s="815" t="s">
        <v>125</v>
      </c>
      <c r="B15" s="815"/>
      <c r="C15" s="815"/>
      <c r="D15" s="815"/>
      <c r="E15" s="815"/>
      <c r="F15" s="815"/>
      <c r="G15" s="815"/>
      <c r="H15" s="815"/>
      <c r="I15" s="815"/>
      <c r="J15" s="815"/>
      <c r="K15" s="83"/>
      <c r="O15" s="762"/>
      <c r="P15" s="816"/>
      <c r="Q15" s="816"/>
    </row>
    <row r="16" spans="1:18" ht="16.5" thickTop="1" x14ac:dyDescent="0.25">
      <c r="A16" s="825" t="s">
        <v>462</v>
      </c>
      <c r="B16" s="825"/>
      <c r="C16" s="825"/>
      <c r="D16" s="825"/>
      <c r="E16" s="825"/>
      <c r="F16" s="825"/>
      <c r="G16" s="825"/>
      <c r="H16" s="825"/>
      <c r="I16" s="838">
        <f>PASSAGEIROS!J52</f>
        <v>1272087.2666666666</v>
      </c>
      <c r="J16" s="839"/>
    </row>
    <row r="17" spans="1:13" ht="5.0999999999999996" customHeight="1" thickBot="1" x14ac:dyDescent="0.3">
      <c r="A17" s="17"/>
      <c r="B17" s="17"/>
      <c r="C17" s="17"/>
      <c r="D17" s="17"/>
      <c r="E17" s="17"/>
      <c r="F17" s="17"/>
      <c r="G17" s="17"/>
      <c r="H17" s="17"/>
      <c r="I17" s="145"/>
      <c r="J17" s="19"/>
    </row>
    <row r="18" spans="1:13" ht="15" customHeight="1" thickTop="1" thickBot="1" x14ac:dyDescent="0.3">
      <c r="A18" s="840" t="s">
        <v>376</v>
      </c>
      <c r="B18" s="840"/>
      <c r="C18" s="840"/>
      <c r="D18" s="840"/>
      <c r="E18" s="840"/>
      <c r="F18" s="840"/>
      <c r="G18" s="840"/>
      <c r="H18" s="840"/>
      <c r="I18" s="840"/>
      <c r="J18" s="840"/>
    </row>
    <row r="19" spans="1:13" ht="20.100000000000001" customHeight="1" thickTop="1" x14ac:dyDescent="0.3">
      <c r="A19" s="841" t="s">
        <v>197</v>
      </c>
      <c r="B19" s="841"/>
      <c r="C19" s="841"/>
      <c r="D19" s="841"/>
      <c r="E19" s="841"/>
      <c r="F19" s="841"/>
      <c r="G19" s="841"/>
      <c r="H19" s="841"/>
      <c r="I19" s="842">
        <f>I13-I16</f>
        <v>743233.11955191568</v>
      </c>
      <c r="J19" s="842"/>
    </row>
    <row r="20" spans="1:13" ht="5.0999999999999996" customHeight="1" thickBot="1" x14ac:dyDescent="0.3">
      <c r="A20" s="823"/>
      <c r="B20" s="823"/>
      <c r="C20" s="823"/>
      <c r="D20" s="823"/>
      <c r="E20" s="823"/>
      <c r="F20" s="823"/>
      <c r="G20" s="823"/>
      <c r="H20" s="823"/>
      <c r="I20" s="824"/>
      <c r="J20" s="824"/>
      <c r="K20" s="83"/>
    </row>
    <row r="21" spans="1:13" ht="17.25" thickTop="1" thickBot="1" x14ac:dyDescent="0.3">
      <c r="A21" s="815" t="s">
        <v>26</v>
      </c>
      <c r="B21" s="815"/>
      <c r="C21" s="815"/>
      <c r="D21" s="815"/>
      <c r="E21" s="815"/>
      <c r="F21" s="815"/>
      <c r="G21" s="815"/>
      <c r="H21" s="815"/>
      <c r="I21" s="815"/>
      <c r="J21" s="815"/>
    </row>
    <row r="22" spans="1:13" ht="16.5" thickTop="1" x14ac:dyDescent="0.25">
      <c r="A22" s="828" t="s">
        <v>174</v>
      </c>
      <c r="B22" s="828"/>
      <c r="C22" s="828"/>
      <c r="D22" s="828"/>
      <c r="E22" s="828"/>
      <c r="F22" s="828"/>
      <c r="G22" s="828"/>
      <c r="H22" s="828"/>
      <c r="I22" s="829">
        <f>'CUSTO VARIÁVEL'!J5</f>
        <v>443004.85477035254</v>
      </c>
      <c r="J22" s="830"/>
    </row>
    <row r="23" spans="1:13" ht="15.75" x14ac:dyDescent="0.25">
      <c r="A23" s="822" t="s">
        <v>175</v>
      </c>
      <c r="B23" s="822"/>
      <c r="C23" s="822"/>
      <c r="D23" s="822"/>
      <c r="E23" s="822"/>
      <c r="F23" s="822"/>
      <c r="G23" s="822"/>
      <c r="H23" s="822"/>
      <c r="I23" s="820">
        <f>'CUSTO VARIÁVEL'!J15</f>
        <v>25889.959728472852</v>
      </c>
      <c r="J23" s="821"/>
    </row>
    <row r="24" spans="1:13" ht="15.75" x14ac:dyDescent="0.25">
      <c r="A24" s="822" t="s">
        <v>176</v>
      </c>
      <c r="B24" s="822"/>
      <c r="C24" s="822"/>
      <c r="D24" s="822"/>
      <c r="E24" s="822"/>
      <c r="F24" s="822"/>
      <c r="G24" s="822"/>
      <c r="H24" s="822"/>
      <c r="I24" s="820">
        <f>'CUSTO VARIÁVEL'!J25</f>
        <v>4626.9678419350485</v>
      </c>
      <c r="J24" s="821"/>
    </row>
    <row r="25" spans="1:13" ht="15.75" x14ac:dyDescent="0.25">
      <c r="A25" s="822" t="s">
        <v>177</v>
      </c>
      <c r="B25" s="822"/>
      <c r="C25" s="822"/>
      <c r="D25" s="822"/>
      <c r="E25" s="822"/>
      <c r="F25" s="822"/>
      <c r="G25" s="822"/>
      <c r="H25" s="822"/>
      <c r="I25" s="820">
        <f>'CUSTO VARIÁVEL'!J36</f>
        <v>24093.942273707966</v>
      </c>
      <c r="J25" s="821"/>
    </row>
    <row r="26" spans="1:13" ht="15.75" x14ac:dyDescent="0.25">
      <c r="A26" s="822" t="s">
        <v>178</v>
      </c>
      <c r="B26" s="822"/>
      <c r="C26" s="822"/>
      <c r="D26" s="822"/>
      <c r="E26" s="822"/>
      <c r="F26" s="822"/>
      <c r="G26" s="822"/>
      <c r="H26" s="822"/>
      <c r="I26" s="820">
        <f>'CUSTO VARIÁVEL'!J47</f>
        <v>162638</v>
      </c>
      <c r="J26" s="821"/>
      <c r="K26" s="83"/>
      <c r="L26" s="20"/>
    </row>
    <row r="27" spans="1:13" ht="15" customHeight="1" x14ac:dyDescent="0.25">
      <c r="A27" s="822" t="s">
        <v>126</v>
      </c>
      <c r="B27" s="822"/>
      <c r="C27" s="822"/>
      <c r="D27" s="822"/>
      <c r="E27" s="822"/>
      <c r="F27" s="822"/>
      <c r="G27" s="822"/>
      <c r="H27" s="822"/>
      <c r="I27" s="820">
        <f>'CUSTO VARIÁVEL'!J59</f>
        <v>20329.75</v>
      </c>
      <c r="J27" s="821"/>
    </row>
    <row r="28" spans="1:13" ht="15" customHeight="1" x14ac:dyDescent="0.25">
      <c r="A28" s="813" t="s">
        <v>127</v>
      </c>
      <c r="B28" s="813"/>
      <c r="C28" s="813"/>
      <c r="D28" s="813"/>
      <c r="E28" s="813"/>
      <c r="F28" s="813"/>
      <c r="G28" s="813"/>
      <c r="H28" s="813"/>
      <c r="I28" s="814">
        <f>SUM(I22:J27)</f>
        <v>680583.4746144684</v>
      </c>
      <c r="J28" s="814"/>
      <c r="M28" s="31"/>
    </row>
    <row r="29" spans="1:13" ht="15.75" thickBot="1" x14ac:dyDescent="0.3">
      <c r="A29" s="505"/>
      <c r="B29" s="505"/>
      <c r="C29" s="505"/>
      <c r="D29" s="505"/>
      <c r="E29" s="505"/>
      <c r="F29" s="505"/>
      <c r="G29" s="505"/>
      <c r="H29" s="505"/>
      <c r="I29" s="844"/>
      <c r="J29" s="844"/>
    </row>
    <row r="30" spans="1:13" ht="16.5" thickTop="1" thickBot="1" x14ac:dyDescent="0.3">
      <c r="A30" s="827" t="s">
        <v>99</v>
      </c>
      <c r="B30" s="827"/>
      <c r="C30" s="827"/>
      <c r="D30" s="827"/>
      <c r="E30" s="827"/>
      <c r="F30" s="827"/>
      <c r="G30" s="827"/>
      <c r="H30" s="827"/>
      <c r="I30" s="827"/>
      <c r="J30" s="827"/>
    </row>
    <row r="31" spans="1:13" ht="16.5" thickTop="1" x14ac:dyDescent="0.25">
      <c r="A31" s="828" t="s">
        <v>128</v>
      </c>
      <c r="B31" s="828"/>
      <c r="C31" s="828"/>
      <c r="D31" s="828"/>
      <c r="E31" s="828"/>
      <c r="F31" s="828"/>
      <c r="G31" s="828"/>
      <c r="H31" s="828"/>
      <c r="I31" s="829">
        <f>'CUSTO FIXO'!J17</f>
        <v>99618.614749999993</v>
      </c>
      <c r="J31" s="830"/>
    </row>
    <row r="32" spans="1:13" ht="15.75" x14ac:dyDescent="0.25">
      <c r="A32" s="822" t="s">
        <v>129</v>
      </c>
      <c r="B32" s="822"/>
      <c r="C32" s="822"/>
      <c r="D32" s="822"/>
      <c r="E32" s="822"/>
      <c r="F32" s="822"/>
      <c r="G32" s="822"/>
      <c r="H32" s="822"/>
      <c r="I32" s="820">
        <f>'CUSTO FIXO'!J26</f>
        <v>5570.3515000000007</v>
      </c>
      <c r="J32" s="821"/>
    </row>
    <row r="33" spans="1:11" ht="15.75" x14ac:dyDescent="0.25">
      <c r="A33" s="822" t="s">
        <v>130</v>
      </c>
      <c r="B33" s="822"/>
      <c r="C33" s="822"/>
      <c r="D33" s="822"/>
      <c r="E33" s="822"/>
      <c r="F33" s="822"/>
      <c r="G33" s="822"/>
      <c r="H33" s="822"/>
      <c r="I33" s="820">
        <f>'CUSTO FIXO'!J46</f>
        <v>2383.3333333333335</v>
      </c>
      <c r="J33" s="821"/>
    </row>
    <row r="34" spans="1:11" ht="15.75" x14ac:dyDescent="0.25">
      <c r="A34" s="822" t="s">
        <v>131</v>
      </c>
      <c r="B34" s="822"/>
      <c r="C34" s="822"/>
      <c r="D34" s="822"/>
      <c r="E34" s="822"/>
      <c r="F34" s="822"/>
      <c r="G34" s="822"/>
      <c r="H34" s="822"/>
      <c r="I34" s="820">
        <f>'CUSTO FIXO'!J54</f>
        <v>0</v>
      </c>
      <c r="J34" s="821"/>
    </row>
    <row r="35" spans="1:11" ht="15.75" x14ac:dyDescent="0.25">
      <c r="A35" s="822" t="s">
        <v>132</v>
      </c>
      <c r="B35" s="822"/>
      <c r="C35" s="822"/>
      <c r="D35" s="822"/>
      <c r="E35" s="822"/>
      <c r="F35" s="822"/>
      <c r="G35" s="822"/>
      <c r="H35" s="822"/>
      <c r="I35" s="820">
        <f>'CUSTO FIXO'!J70</f>
        <v>37427.069750000002</v>
      </c>
      <c r="J35" s="821"/>
    </row>
    <row r="36" spans="1:11" ht="15.75" x14ac:dyDescent="0.25">
      <c r="A36" s="822" t="s">
        <v>133</v>
      </c>
      <c r="B36" s="822"/>
      <c r="C36" s="822"/>
      <c r="D36" s="822"/>
      <c r="E36" s="822"/>
      <c r="F36" s="822"/>
      <c r="G36" s="822"/>
      <c r="H36" s="822"/>
      <c r="I36" s="820">
        <f>'CUSTO FIXO'!J77</f>
        <v>2930.0048890000003</v>
      </c>
      <c r="J36" s="821"/>
    </row>
    <row r="37" spans="1:11" ht="15.75" x14ac:dyDescent="0.25">
      <c r="A37" s="822" t="s">
        <v>134</v>
      </c>
      <c r="B37" s="822"/>
      <c r="C37" s="822"/>
      <c r="D37" s="822"/>
      <c r="E37" s="822"/>
      <c r="F37" s="822"/>
      <c r="G37" s="822"/>
      <c r="H37" s="822"/>
      <c r="I37" s="820">
        <f>'CUSTO FIXO'!J87</f>
        <v>2851.5862666666667</v>
      </c>
      <c r="J37" s="820"/>
    </row>
    <row r="38" spans="1:11" ht="15.75" x14ac:dyDescent="0.25">
      <c r="A38" s="822" t="s">
        <v>516</v>
      </c>
      <c r="B38" s="822"/>
      <c r="C38" s="822"/>
      <c r="D38" s="822"/>
      <c r="E38" s="822"/>
      <c r="F38" s="822"/>
      <c r="G38" s="822"/>
      <c r="H38" s="822"/>
      <c r="I38" s="820">
        <f>'CUSTO FIXO'!J94</f>
        <v>86423.27</v>
      </c>
      <c r="J38" s="821"/>
    </row>
    <row r="39" spans="1:11" ht="15.75" x14ac:dyDescent="0.25">
      <c r="A39" s="822" t="s">
        <v>135</v>
      </c>
      <c r="B39" s="822"/>
      <c r="C39" s="822"/>
      <c r="D39" s="822"/>
      <c r="E39" s="822"/>
      <c r="F39" s="822"/>
      <c r="G39" s="822"/>
      <c r="H39" s="822"/>
      <c r="I39" s="820">
        <f>'CUSTO FIXO'!J103</f>
        <v>1069.34485</v>
      </c>
      <c r="J39" s="821"/>
      <c r="K39" s="83"/>
    </row>
    <row r="40" spans="1:11" ht="15.75" x14ac:dyDescent="0.25">
      <c r="A40" s="822" t="s">
        <v>365</v>
      </c>
      <c r="B40" s="822"/>
      <c r="C40" s="822"/>
      <c r="D40" s="822"/>
      <c r="E40" s="822"/>
      <c r="F40" s="822"/>
      <c r="G40" s="822"/>
      <c r="H40" s="822"/>
      <c r="I40" s="820">
        <f>'CUSTO FIXO'!J113</f>
        <v>13142.5</v>
      </c>
      <c r="J40" s="821"/>
      <c r="K40" s="83"/>
    </row>
    <row r="41" spans="1:11" ht="15.75" x14ac:dyDescent="0.25">
      <c r="A41" s="822" t="s">
        <v>136</v>
      </c>
      <c r="B41" s="822"/>
      <c r="C41" s="822"/>
      <c r="D41" s="822"/>
      <c r="E41" s="822"/>
      <c r="F41" s="822"/>
      <c r="G41" s="822"/>
      <c r="H41" s="822"/>
      <c r="I41" s="820">
        <f>'CUSTO FIXO'!J124</f>
        <v>640634.37822791457</v>
      </c>
      <c r="J41" s="821"/>
      <c r="K41" s="83"/>
    </row>
    <row r="42" spans="1:11" ht="15.75" x14ac:dyDescent="0.25">
      <c r="A42" s="822" t="s">
        <v>137</v>
      </c>
      <c r="B42" s="822"/>
      <c r="C42" s="822"/>
      <c r="D42" s="822"/>
      <c r="E42" s="822"/>
      <c r="F42" s="822"/>
      <c r="G42" s="822"/>
      <c r="H42" s="822"/>
      <c r="I42" s="820">
        <f>'CUSTO FIXO'!J133</f>
        <v>182004.22685455054</v>
      </c>
      <c r="J42" s="821"/>
    </row>
    <row r="43" spans="1:11" ht="15.75" x14ac:dyDescent="0.25">
      <c r="A43" s="822" t="s">
        <v>366</v>
      </c>
      <c r="B43" s="822"/>
      <c r="C43" s="822"/>
      <c r="D43" s="822"/>
      <c r="E43" s="822"/>
      <c r="F43" s="822"/>
      <c r="G43" s="822"/>
      <c r="H43" s="822"/>
      <c r="I43" s="820">
        <f>'CUSTO FIXO'!J140</f>
        <v>11428.67</v>
      </c>
      <c r="J43" s="820"/>
      <c r="K43" s="83"/>
    </row>
    <row r="44" spans="1:11" ht="15" customHeight="1" x14ac:dyDescent="0.25">
      <c r="A44" s="822" t="s">
        <v>182</v>
      </c>
      <c r="B44" s="822"/>
      <c r="C44" s="822"/>
      <c r="D44" s="822"/>
      <c r="E44" s="822"/>
      <c r="F44" s="822"/>
      <c r="G44" s="822"/>
      <c r="H44" s="822"/>
      <c r="I44" s="820">
        <f>'CUSTO FIXO'!J158+'CUSTO FIXO'!J163+'CUSTO FIXO'!J167+'CUSTO FIXO'!J149+'CUSTO FIXO'!J144</f>
        <v>8677.1549999999988</v>
      </c>
      <c r="J44" s="821"/>
    </row>
    <row r="45" spans="1:11" ht="15" customHeight="1" x14ac:dyDescent="0.25">
      <c r="A45" s="813" t="s">
        <v>127</v>
      </c>
      <c r="B45" s="813"/>
      <c r="C45" s="813"/>
      <c r="D45" s="813"/>
      <c r="E45" s="813"/>
      <c r="F45" s="813"/>
      <c r="G45" s="813"/>
      <c r="H45" s="813"/>
      <c r="I45" s="814">
        <f>SUM(I31:J44)</f>
        <v>1094160.505421465</v>
      </c>
      <c r="J45" s="826"/>
    </row>
    <row r="46" spans="1:11" ht="15.75" thickBot="1" x14ac:dyDescent="0.3">
      <c r="A46" s="20"/>
      <c r="B46" s="20"/>
      <c r="C46" s="20"/>
      <c r="D46" s="20"/>
      <c r="E46" s="20"/>
      <c r="F46" s="20"/>
      <c r="G46" s="20"/>
      <c r="H46" s="20"/>
      <c r="I46" s="21"/>
      <c r="J46" s="21"/>
    </row>
    <row r="47" spans="1:11" ht="15" customHeight="1" thickTop="1" thickBot="1" x14ac:dyDescent="0.3">
      <c r="A47" s="827" t="s">
        <v>138</v>
      </c>
      <c r="B47" s="827"/>
      <c r="C47" s="827"/>
      <c r="D47" s="827"/>
      <c r="E47" s="827"/>
      <c r="F47" s="827"/>
      <c r="G47" s="827"/>
      <c r="H47" s="827"/>
      <c r="I47" s="827"/>
      <c r="J47" s="827"/>
      <c r="K47" s="83"/>
    </row>
    <row r="48" spans="1:11" ht="15" customHeight="1" thickTop="1" x14ac:dyDescent="0.25">
      <c r="A48" s="828" t="s">
        <v>149</v>
      </c>
      <c r="B48" s="828"/>
      <c r="C48" s="828"/>
      <c r="D48" s="828"/>
      <c r="E48" s="828"/>
      <c r="F48" s="828"/>
      <c r="G48" s="828"/>
      <c r="H48" s="828"/>
      <c r="I48" s="829">
        <f>TARIFA!J4</f>
        <v>129733.78494062673</v>
      </c>
      <c r="J48" s="830"/>
    </row>
    <row r="49" spans="1:16" ht="15.75" x14ac:dyDescent="0.25">
      <c r="A49" s="813" t="s">
        <v>127</v>
      </c>
      <c r="B49" s="813"/>
      <c r="C49" s="813"/>
      <c r="D49" s="813"/>
      <c r="E49" s="813"/>
      <c r="F49" s="813"/>
      <c r="G49" s="813"/>
      <c r="H49" s="813"/>
      <c r="I49" s="814">
        <f>I48</f>
        <v>129733.78494062673</v>
      </c>
      <c r="J49" s="814"/>
    </row>
    <row r="50" spans="1:16" ht="15.75" thickBot="1" x14ac:dyDescent="0.3">
      <c r="A50" s="20"/>
      <c r="B50" s="20"/>
      <c r="C50" s="20"/>
      <c r="D50" s="20"/>
      <c r="E50" s="20"/>
      <c r="F50" s="20"/>
      <c r="G50" s="20"/>
      <c r="H50" s="20"/>
      <c r="I50" s="22"/>
      <c r="J50" s="21"/>
    </row>
    <row r="51" spans="1:16" ht="16.5" thickTop="1" thickBot="1" x14ac:dyDescent="0.3">
      <c r="A51" s="827" t="s">
        <v>139</v>
      </c>
      <c r="B51" s="827"/>
      <c r="C51" s="827"/>
      <c r="D51" s="827"/>
      <c r="E51" s="827"/>
      <c r="F51" s="827"/>
      <c r="G51" s="827"/>
      <c r="H51" s="827"/>
      <c r="I51" s="827"/>
      <c r="J51" s="827"/>
      <c r="K51" s="83"/>
    </row>
    <row r="52" spans="1:16" ht="15" customHeight="1" thickTop="1" x14ac:dyDescent="0.25">
      <c r="A52" s="828" t="s">
        <v>140</v>
      </c>
      <c r="B52" s="828"/>
      <c r="C52" s="828"/>
      <c r="D52" s="828"/>
      <c r="E52" s="828"/>
      <c r="F52" s="828"/>
      <c r="G52" s="828"/>
      <c r="H52" s="828"/>
      <c r="I52" s="829">
        <f>TARIFA!J5</f>
        <v>110842.62124202204</v>
      </c>
      <c r="J52" s="830"/>
      <c r="P52" s="31">
        <v>1094160</v>
      </c>
    </row>
    <row r="53" spans="1:16" ht="15.75" x14ac:dyDescent="0.25">
      <c r="A53" s="813" t="s">
        <v>127</v>
      </c>
      <c r="B53" s="813"/>
      <c r="C53" s="813"/>
      <c r="D53" s="813"/>
      <c r="E53" s="813"/>
      <c r="F53" s="813"/>
      <c r="G53" s="813"/>
      <c r="H53" s="813"/>
      <c r="I53" s="814">
        <f>I52</f>
        <v>110842.62124202204</v>
      </c>
      <c r="J53" s="814"/>
      <c r="P53" s="31">
        <f>P52-I45</f>
        <v>-0.50542146502994001</v>
      </c>
    </row>
    <row r="54" spans="1:16" ht="15.75" thickBot="1" x14ac:dyDescent="0.3"/>
    <row r="55" spans="1:16" ht="22.5" thickTop="1" thickBot="1" x14ac:dyDescent="0.4">
      <c r="A55" s="845" t="s">
        <v>103</v>
      </c>
      <c r="B55" s="845"/>
      <c r="C55" s="845"/>
      <c r="D55" s="845"/>
      <c r="E55" s="845"/>
      <c r="F55" s="845"/>
      <c r="G55" s="845"/>
      <c r="H55" s="845"/>
      <c r="I55" s="845"/>
      <c r="J55" s="845"/>
    </row>
    <row r="56" spans="1:16" ht="21.75" thickTop="1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O56" s="254"/>
      <c r="P56" s="254">
        <v>86423.27</v>
      </c>
    </row>
    <row r="57" spans="1:16" ht="21" x14ac:dyDescent="0.35">
      <c r="A57" s="23"/>
      <c r="B57" s="24"/>
      <c r="C57" s="25"/>
      <c r="D57" s="25"/>
      <c r="E57" s="25"/>
      <c r="F57" s="25"/>
      <c r="G57" s="25"/>
      <c r="H57" s="25"/>
      <c r="I57" s="26"/>
      <c r="J57" s="23"/>
      <c r="O57" s="254">
        <f>I28+I45+I49+I53</f>
        <v>2015320.3862185823</v>
      </c>
      <c r="P57" s="254">
        <f>O57-I38</f>
        <v>1928897.1162185823</v>
      </c>
    </row>
    <row r="58" spans="1:16" ht="16.5" thickBot="1" x14ac:dyDescent="0.3">
      <c r="B58" s="4"/>
      <c r="C58" s="846" t="s">
        <v>141</v>
      </c>
      <c r="D58" s="846"/>
      <c r="E58" s="846"/>
      <c r="F58" s="846"/>
      <c r="G58" s="846"/>
      <c r="H58" s="846"/>
      <c r="I58" s="27"/>
      <c r="O58">
        <f>I16/5</f>
        <v>254417.45333333331</v>
      </c>
    </row>
    <row r="59" spans="1:16" ht="15.75" x14ac:dyDescent="0.25">
      <c r="B59" s="4"/>
      <c r="C59" s="847" t="s">
        <v>142</v>
      </c>
      <c r="D59" s="847"/>
      <c r="E59" s="847"/>
      <c r="F59" s="847"/>
      <c r="G59" s="847"/>
      <c r="H59" s="847"/>
      <c r="I59" s="27"/>
      <c r="O59">
        <f>O57/O58</f>
        <v>7.9213134154681777</v>
      </c>
    </row>
    <row r="60" spans="1:16" ht="15.75" customHeight="1" x14ac:dyDescent="0.25">
      <c r="B60" s="28"/>
      <c r="C60" s="29"/>
      <c r="D60" s="29"/>
      <c r="E60" s="29"/>
      <c r="F60" s="29"/>
      <c r="G60" s="29"/>
      <c r="H60" s="29"/>
      <c r="I60" s="30"/>
    </row>
    <row r="61" spans="1:16" ht="15" customHeight="1" thickBot="1" x14ac:dyDescent="0.3">
      <c r="P61">
        <f>I89*I7</f>
        <v>1928897.1162185823</v>
      </c>
    </row>
    <row r="62" spans="1:16" ht="15.75" customHeight="1" thickTop="1" x14ac:dyDescent="0.25">
      <c r="B62" s="848" t="s">
        <v>143</v>
      </c>
      <c r="C62" s="849"/>
      <c r="D62" s="849"/>
      <c r="E62" s="854">
        <f>TARIFA!D9</f>
        <v>7.9213134154681777</v>
      </c>
      <c r="F62" s="855"/>
    </row>
    <row r="63" spans="1:16" x14ac:dyDescent="0.25">
      <c r="B63" s="850"/>
      <c r="C63" s="851"/>
      <c r="D63" s="851"/>
      <c r="E63" s="856"/>
      <c r="F63" s="857"/>
    </row>
    <row r="64" spans="1:16" ht="15.75" thickBot="1" x14ac:dyDescent="0.3">
      <c r="B64" s="852"/>
      <c r="C64" s="853"/>
      <c r="D64" s="853"/>
      <c r="E64" s="858"/>
      <c r="F64" s="859"/>
    </row>
    <row r="65" spans="1:16" ht="15.75" thickTop="1" x14ac:dyDescent="0.25">
      <c r="O65">
        <v>7.3099999999999998E-2</v>
      </c>
    </row>
    <row r="66" spans="1:16" ht="21.75" thickBot="1" x14ac:dyDescent="0.4">
      <c r="A66" s="843" t="s">
        <v>258</v>
      </c>
      <c r="B66" s="843"/>
      <c r="C66" s="843"/>
      <c r="D66" s="843"/>
      <c r="E66" s="843"/>
      <c r="F66" s="843"/>
      <c r="G66" s="843"/>
      <c r="H66" s="843"/>
      <c r="I66" s="843"/>
      <c r="J66" s="843"/>
      <c r="O66" s="31">
        <f>RESUMO!I45+RESUMO!I28</f>
        <v>1774743.9800359334</v>
      </c>
      <c r="P66">
        <f>O66*O65</f>
        <v>129733.78494062673</v>
      </c>
    </row>
    <row r="67" spans="1:16" ht="15" customHeight="1" thickTop="1" thickBot="1" x14ac:dyDescent="0.3">
      <c r="A67" s="827" t="s">
        <v>255</v>
      </c>
      <c r="B67" s="827"/>
      <c r="C67" s="827"/>
      <c r="D67" s="827"/>
      <c r="E67" s="827"/>
      <c r="F67" s="827"/>
      <c r="G67" s="827"/>
      <c r="H67" s="827"/>
      <c r="I67" s="827"/>
      <c r="J67" s="827"/>
    </row>
    <row r="68" spans="1:16" ht="15" customHeight="1" thickTop="1" x14ac:dyDescent="0.25">
      <c r="A68" s="828" t="s">
        <v>254</v>
      </c>
      <c r="B68" s="828"/>
      <c r="C68" s="828"/>
      <c r="D68" s="828"/>
      <c r="E68" s="828"/>
      <c r="F68" s="828"/>
      <c r="G68" s="828"/>
      <c r="H68" s="828"/>
      <c r="I68" s="82">
        <f>I16*100/I13</f>
        <v>63.12084546782804</v>
      </c>
      <c r="J68" s="81" t="s">
        <v>252</v>
      </c>
    </row>
    <row r="69" spans="1:16" ht="15" customHeight="1" thickBot="1" x14ac:dyDescent="0.3"/>
    <row r="70" spans="1:16" ht="15" customHeight="1" thickTop="1" thickBot="1" x14ac:dyDescent="0.3">
      <c r="A70" s="827" t="s">
        <v>253</v>
      </c>
      <c r="B70" s="827"/>
      <c r="C70" s="827"/>
      <c r="D70" s="827"/>
      <c r="E70" s="827"/>
      <c r="F70" s="827"/>
      <c r="G70" s="827"/>
      <c r="H70" s="827"/>
      <c r="I70" s="827"/>
      <c r="J70" s="827"/>
    </row>
    <row r="71" spans="1:16" ht="15" customHeight="1" thickTop="1" x14ac:dyDescent="0.25">
      <c r="A71" s="828" t="s">
        <v>254</v>
      </c>
      <c r="B71" s="828"/>
      <c r="C71" s="828"/>
      <c r="D71" s="828"/>
      <c r="E71" s="828"/>
      <c r="F71" s="828"/>
      <c r="G71" s="828"/>
      <c r="H71" s="828"/>
      <c r="I71" s="84">
        <f>I28*100/I13</f>
        <v>33.77048529199228</v>
      </c>
      <c r="J71" s="85" t="s">
        <v>252</v>
      </c>
    </row>
    <row r="72" spans="1:16" ht="15" customHeight="1" thickBot="1" x14ac:dyDescent="0.3"/>
    <row r="73" spans="1:16" ht="15" customHeight="1" thickTop="1" thickBot="1" x14ac:dyDescent="0.3">
      <c r="A73" s="827" t="s">
        <v>99</v>
      </c>
      <c r="B73" s="827"/>
      <c r="C73" s="827"/>
      <c r="D73" s="827"/>
      <c r="E73" s="827"/>
      <c r="F73" s="827"/>
      <c r="G73" s="827"/>
      <c r="H73" s="827"/>
      <c r="I73" s="827"/>
      <c r="J73" s="827"/>
    </row>
    <row r="74" spans="1:16" ht="15" customHeight="1" thickTop="1" x14ac:dyDescent="0.25">
      <c r="A74" s="828" t="s">
        <v>254</v>
      </c>
      <c r="B74" s="828"/>
      <c r="C74" s="828"/>
      <c r="D74" s="828"/>
      <c r="E74" s="828"/>
      <c r="F74" s="828"/>
      <c r="G74" s="828"/>
      <c r="H74" s="828"/>
      <c r="I74" s="84">
        <f>I45*100/I13</f>
        <v>54.292137017205363</v>
      </c>
      <c r="J74" s="85" t="s">
        <v>252</v>
      </c>
    </row>
    <row r="75" spans="1:16" ht="15" customHeight="1" thickBot="1" x14ac:dyDescent="0.3"/>
    <row r="76" spans="1:16" ht="15" customHeight="1" thickTop="1" thickBot="1" x14ac:dyDescent="0.3">
      <c r="A76" s="827" t="s">
        <v>256</v>
      </c>
      <c r="B76" s="827"/>
      <c r="C76" s="827"/>
      <c r="D76" s="827"/>
      <c r="E76" s="827"/>
      <c r="F76" s="827"/>
      <c r="G76" s="827"/>
      <c r="H76" s="827"/>
      <c r="I76" s="827"/>
      <c r="J76" s="827"/>
    </row>
    <row r="77" spans="1:16" ht="15" customHeight="1" thickTop="1" x14ac:dyDescent="0.25">
      <c r="A77" s="828" t="s">
        <v>254</v>
      </c>
      <c r="B77" s="828"/>
      <c r="C77" s="828"/>
      <c r="D77" s="828"/>
      <c r="E77" s="828"/>
      <c r="F77" s="828"/>
      <c r="G77" s="828"/>
      <c r="H77" s="828"/>
      <c r="I77" s="84">
        <f>I22*100/I13</f>
        <v>21.98185746543151</v>
      </c>
      <c r="J77" s="85" t="s">
        <v>252</v>
      </c>
    </row>
    <row r="78" spans="1:16" ht="15" customHeight="1" thickBot="1" x14ac:dyDescent="0.3"/>
    <row r="79" spans="1:16" ht="15" customHeight="1" thickTop="1" thickBot="1" x14ac:dyDescent="0.3">
      <c r="A79" s="827" t="s">
        <v>257</v>
      </c>
      <c r="B79" s="827"/>
      <c r="C79" s="827"/>
      <c r="D79" s="827"/>
      <c r="E79" s="827"/>
      <c r="F79" s="827"/>
      <c r="G79" s="827"/>
      <c r="H79" s="827"/>
      <c r="I79" s="827"/>
      <c r="J79" s="827"/>
    </row>
    <row r="80" spans="1:16" ht="15" customHeight="1" thickTop="1" x14ac:dyDescent="0.25">
      <c r="A80" s="828" t="s">
        <v>254</v>
      </c>
      <c r="B80" s="828"/>
      <c r="C80" s="828"/>
      <c r="D80" s="828"/>
      <c r="E80" s="828"/>
      <c r="F80" s="828"/>
      <c r="G80" s="828"/>
      <c r="H80" s="828"/>
      <c r="I80" s="84">
        <f>(I41+I42)*100/I13</f>
        <v>40.81924693998711</v>
      </c>
      <c r="J80" s="85" t="s">
        <v>252</v>
      </c>
    </row>
    <row r="81" spans="1:16" ht="15" customHeight="1" thickBot="1" x14ac:dyDescent="0.3"/>
    <row r="82" spans="1:16" ht="15" customHeight="1" thickTop="1" thickBot="1" x14ac:dyDescent="0.3">
      <c r="A82" s="827" t="s">
        <v>98</v>
      </c>
      <c r="B82" s="827"/>
      <c r="C82" s="827"/>
      <c r="D82" s="827"/>
      <c r="E82" s="827"/>
      <c r="F82" s="827"/>
      <c r="G82" s="827"/>
      <c r="H82" s="827"/>
      <c r="I82" s="827"/>
      <c r="J82" s="827"/>
    </row>
    <row r="83" spans="1:16" ht="15" customHeight="1" thickTop="1" x14ac:dyDescent="0.25">
      <c r="A83" s="828" t="s">
        <v>254</v>
      </c>
      <c r="B83" s="828"/>
      <c r="C83" s="828"/>
      <c r="D83" s="828"/>
      <c r="E83" s="828"/>
      <c r="F83" s="828"/>
      <c r="G83" s="828"/>
      <c r="H83" s="828"/>
      <c r="I83" s="84">
        <f>I49*100/I13</f>
        <v>6.4373776908023483</v>
      </c>
      <c r="J83" s="85" t="s">
        <v>252</v>
      </c>
    </row>
    <row r="84" spans="1:16" ht="15" customHeight="1" thickBot="1" x14ac:dyDescent="0.3"/>
    <row r="85" spans="1:16" ht="15" customHeight="1" thickTop="1" thickBot="1" x14ac:dyDescent="0.3">
      <c r="A85" s="827" t="s">
        <v>100</v>
      </c>
      <c r="B85" s="827"/>
      <c r="C85" s="827"/>
      <c r="D85" s="827"/>
      <c r="E85" s="827"/>
      <c r="F85" s="827"/>
      <c r="G85" s="827"/>
      <c r="H85" s="827"/>
      <c r="I85" s="827"/>
      <c r="J85" s="827"/>
    </row>
    <row r="86" spans="1:16" ht="15" customHeight="1" thickTop="1" x14ac:dyDescent="0.25">
      <c r="A86" s="828" t="s">
        <v>254</v>
      </c>
      <c r="B86" s="828"/>
      <c r="C86" s="828"/>
      <c r="D86" s="828"/>
      <c r="E86" s="828"/>
      <c r="F86" s="828"/>
      <c r="G86" s="828"/>
      <c r="H86" s="828"/>
      <c r="I86" s="84">
        <f>I53*100/I13</f>
        <v>5.5000000000000009</v>
      </c>
      <c r="J86" s="85" t="s">
        <v>252</v>
      </c>
    </row>
    <row r="87" spans="1:16" ht="15" customHeight="1" thickBot="1" x14ac:dyDescent="0.3"/>
    <row r="88" spans="1:16" ht="15" customHeight="1" thickTop="1" thickBot="1" x14ac:dyDescent="0.3">
      <c r="A88" s="827" t="s">
        <v>259</v>
      </c>
      <c r="B88" s="827"/>
      <c r="C88" s="827"/>
      <c r="D88" s="827"/>
      <c r="E88" s="827"/>
      <c r="F88" s="827"/>
      <c r="G88" s="827"/>
      <c r="H88" s="827"/>
      <c r="I88" s="827"/>
      <c r="J88" s="827"/>
      <c r="O88" t="s">
        <v>518</v>
      </c>
    </row>
    <row r="89" spans="1:16" ht="33" customHeight="1" thickTop="1" x14ac:dyDescent="0.25">
      <c r="A89" s="860" t="s">
        <v>505</v>
      </c>
      <c r="B89" s="860"/>
      <c r="C89" s="860"/>
      <c r="D89" s="860"/>
      <c r="E89" s="860"/>
      <c r="F89" s="860"/>
      <c r="G89" s="860"/>
      <c r="H89" s="860"/>
      <c r="I89" s="861">
        <f>(I13-I38)/I7</f>
        <v>9.6556171860958742</v>
      </c>
      <c r="J89" s="861"/>
      <c r="O89" s="255">
        <f>O57/I7</f>
        <v>10.088232282087361</v>
      </c>
      <c r="P89" s="254">
        <f>O89*I7</f>
        <v>2015320.3862185823</v>
      </c>
    </row>
    <row r="91" spans="1:16" ht="30" x14ac:dyDescent="0.25">
      <c r="O91" s="47" t="s">
        <v>517</v>
      </c>
    </row>
    <row r="92" spans="1:16" x14ac:dyDescent="0.25">
      <c r="O92" s="255">
        <f>P61/I7</f>
        <v>9.6556171860958742</v>
      </c>
      <c r="P92" s="254">
        <f>I7*O92</f>
        <v>1928897.1162185823</v>
      </c>
    </row>
    <row r="93" spans="1:16" x14ac:dyDescent="0.25">
      <c r="O93" t="s">
        <v>520</v>
      </c>
      <c r="P93" s="254">
        <f>I38</f>
        <v>86423.27</v>
      </c>
    </row>
    <row r="94" spans="1:16" x14ac:dyDescent="0.25">
      <c r="O94" t="s">
        <v>519</v>
      </c>
    </row>
    <row r="95" spans="1:16" x14ac:dyDescent="0.25">
      <c r="O95" s="254">
        <f>P89/TARIFA!P14</f>
        <v>7.9213134154681777</v>
      </c>
    </row>
    <row r="97" spans="15:16" x14ac:dyDescent="0.25">
      <c r="O97" s="812" t="s">
        <v>522</v>
      </c>
      <c r="P97" s="811">
        <f>P92*12</f>
        <v>23146765.394622989</v>
      </c>
    </row>
    <row r="98" spans="15:16" x14ac:dyDescent="0.25">
      <c r="O98" s="812"/>
      <c r="P98" s="811"/>
    </row>
  </sheetData>
  <mergeCells count="106">
    <mergeCell ref="C59:H59"/>
    <mergeCell ref="B62:D64"/>
    <mergeCell ref="E62:F64"/>
    <mergeCell ref="A88:J88"/>
    <mergeCell ref="A89:H89"/>
    <mergeCell ref="I89:J89"/>
    <mergeCell ref="A74:H74"/>
    <mergeCell ref="A76:J76"/>
    <mergeCell ref="A77:H77"/>
    <mergeCell ref="A79:J79"/>
    <mergeCell ref="A80:H80"/>
    <mergeCell ref="A82:J82"/>
    <mergeCell ref="A83:H83"/>
    <mergeCell ref="A85:J85"/>
    <mergeCell ref="A86:H86"/>
    <mergeCell ref="A40:H40"/>
    <mergeCell ref="I40:J40"/>
    <mergeCell ref="A42:H42"/>
    <mergeCell ref="A52:H52"/>
    <mergeCell ref="I52:J52"/>
    <mergeCell ref="A53:H53"/>
    <mergeCell ref="I53:J53"/>
    <mergeCell ref="A55:J55"/>
    <mergeCell ref="C58:H58"/>
    <mergeCell ref="I19:J19"/>
    <mergeCell ref="A21:J21"/>
    <mergeCell ref="A29:H29"/>
    <mergeCell ref="A66:J66"/>
    <mergeCell ref="A67:J67"/>
    <mergeCell ref="A68:H68"/>
    <mergeCell ref="A70:J70"/>
    <mergeCell ref="A71:H71"/>
    <mergeCell ref="A73:J73"/>
    <mergeCell ref="A35:H35"/>
    <mergeCell ref="I35:J35"/>
    <mergeCell ref="I29:J29"/>
    <mergeCell ref="A37:H37"/>
    <mergeCell ref="I37:J37"/>
    <mergeCell ref="A38:H38"/>
    <mergeCell ref="I38:J38"/>
    <mergeCell ref="A31:H31"/>
    <mergeCell ref="I31:J31"/>
    <mergeCell ref="A32:H32"/>
    <mergeCell ref="I32:J32"/>
    <mergeCell ref="A33:H33"/>
    <mergeCell ref="I33:J33"/>
    <mergeCell ref="A36:H36"/>
    <mergeCell ref="I36:J36"/>
    <mergeCell ref="A39:H39"/>
    <mergeCell ref="I39:J39"/>
    <mergeCell ref="I42:J42"/>
    <mergeCell ref="A30:J30"/>
    <mergeCell ref="A44:H44"/>
    <mergeCell ref="I44:J44"/>
    <mergeCell ref="A43:H43"/>
    <mergeCell ref="I43:J43"/>
    <mergeCell ref="I16:J16"/>
    <mergeCell ref="A22:H22"/>
    <mergeCell ref="I22:J22"/>
    <mergeCell ref="A23:H23"/>
    <mergeCell ref="I23:J23"/>
    <mergeCell ref="A41:H41"/>
    <mergeCell ref="I41:J41"/>
    <mergeCell ref="A24:H24"/>
    <mergeCell ref="I24:J24"/>
    <mergeCell ref="A25:H25"/>
    <mergeCell ref="I25:J25"/>
    <mergeCell ref="A26:H26"/>
    <mergeCell ref="A34:H34"/>
    <mergeCell ref="I34:J34"/>
    <mergeCell ref="A18:J18"/>
    <mergeCell ref="A19:H19"/>
    <mergeCell ref="A1:J1"/>
    <mergeCell ref="A4:J4"/>
    <mergeCell ref="A6:J6"/>
    <mergeCell ref="A7:H7"/>
    <mergeCell ref="I7:J7"/>
    <mergeCell ref="A8:J8"/>
    <mergeCell ref="A9:J9"/>
    <mergeCell ref="A10:H10"/>
    <mergeCell ref="I10:J10"/>
    <mergeCell ref="F2:J2"/>
    <mergeCell ref="P97:P98"/>
    <mergeCell ref="O97:O98"/>
    <mergeCell ref="A28:H28"/>
    <mergeCell ref="I28:J28"/>
    <mergeCell ref="A15:J15"/>
    <mergeCell ref="O12:Q12"/>
    <mergeCell ref="O15:Q15"/>
    <mergeCell ref="A13:H13"/>
    <mergeCell ref="A12:J12"/>
    <mergeCell ref="I13:J13"/>
    <mergeCell ref="I26:J26"/>
    <mergeCell ref="A27:H27"/>
    <mergeCell ref="I27:J27"/>
    <mergeCell ref="A20:H20"/>
    <mergeCell ref="I20:J20"/>
    <mergeCell ref="A16:H16"/>
    <mergeCell ref="A45:H45"/>
    <mergeCell ref="I45:J45"/>
    <mergeCell ref="A47:J47"/>
    <mergeCell ref="A48:H48"/>
    <mergeCell ref="I48:J48"/>
    <mergeCell ref="A49:H49"/>
    <mergeCell ref="I49:J49"/>
    <mergeCell ref="A51:J5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0"/>
  <sheetViews>
    <sheetView topLeftCell="A29" workbookViewId="0">
      <selection activeCell="Z61" sqref="Z61"/>
    </sheetView>
  </sheetViews>
  <sheetFormatPr defaultColWidth="9.28515625" defaultRowHeight="12.75" x14ac:dyDescent="0.2"/>
  <cols>
    <col min="1" max="1" width="9.140625" style="8" customWidth="1"/>
    <col min="2" max="4" width="6.7109375" style="8" customWidth="1"/>
    <col min="5" max="16" width="8.7109375" style="8" customWidth="1"/>
    <col min="17" max="23" width="6.7109375" style="8" customWidth="1"/>
    <col min="24" max="25" width="9.28515625" style="8"/>
    <col min="26" max="26" width="19.5703125" style="8" bestFit="1" customWidth="1"/>
    <col min="27" max="16384" width="9.28515625" style="8"/>
  </cols>
  <sheetData>
    <row r="1" spans="1:26" ht="30" customHeight="1" thickBot="1" x14ac:dyDescent="0.25">
      <c r="A1" s="315" t="s">
        <v>389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6" ht="30" customHeight="1" thickBot="1" x14ac:dyDescent="0.25">
      <c r="A2" s="178"/>
      <c r="B2" s="178"/>
      <c r="C2" s="178"/>
      <c r="D2" s="178"/>
      <c r="E2" s="199" t="s">
        <v>227</v>
      </c>
      <c r="F2" s="199" t="s">
        <v>228</v>
      </c>
      <c r="G2" s="199" t="s">
        <v>229</v>
      </c>
      <c r="H2" s="199" t="s">
        <v>230</v>
      </c>
      <c r="I2" s="199" t="s">
        <v>231</v>
      </c>
      <c r="J2" s="199" t="s">
        <v>232</v>
      </c>
      <c r="K2" s="199" t="s">
        <v>233</v>
      </c>
      <c r="L2" s="199" t="s">
        <v>234</v>
      </c>
      <c r="M2" s="199" t="s">
        <v>235</v>
      </c>
      <c r="N2" s="199" t="s">
        <v>236</v>
      </c>
      <c r="O2" s="199" t="s">
        <v>237</v>
      </c>
      <c r="P2" s="199" t="s">
        <v>238</v>
      </c>
      <c r="Q2" s="178"/>
      <c r="R2" s="178"/>
      <c r="S2" s="178"/>
      <c r="T2" s="178"/>
      <c r="U2" s="178"/>
      <c r="V2" s="178"/>
      <c r="W2" s="178"/>
    </row>
    <row r="3" spans="1:26" ht="24.95" customHeight="1" thickBot="1" x14ac:dyDescent="0.25">
      <c r="A3" s="328" t="s">
        <v>377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</row>
    <row r="4" spans="1:26" ht="20.100000000000001" customHeight="1" x14ac:dyDescent="0.2">
      <c r="A4" s="153"/>
      <c r="B4" s="320" t="s">
        <v>456</v>
      </c>
      <c r="C4" s="320"/>
      <c r="D4" s="320"/>
      <c r="E4" s="312" t="s">
        <v>451</v>
      </c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4"/>
      <c r="Q4" s="320" t="s">
        <v>453</v>
      </c>
      <c r="R4" s="320"/>
      <c r="S4" s="320"/>
      <c r="T4" s="320"/>
      <c r="U4" s="320"/>
      <c r="V4" s="320"/>
      <c r="W4" s="320"/>
    </row>
    <row r="5" spans="1:26" ht="20.100000000000001" customHeight="1" x14ac:dyDescent="0.2">
      <c r="A5" s="241"/>
      <c r="B5" s="321" t="s">
        <v>378</v>
      </c>
      <c r="C5" s="321"/>
      <c r="D5" s="321"/>
      <c r="E5" s="242">
        <v>8991</v>
      </c>
      <c r="F5" s="242">
        <v>10034</v>
      </c>
      <c r="G5" s="242">
        <v>8005</v>
      </c>
      <c r="H5" s="242">
        <v>8758</v>
      </c>
      <c r="I5" s="242">
        <v>8536</v>
      </c>
      <c r="J5" s="242">
        <v>7840</v>
      </c>
      <c r="K5" s="242">
        <v>7783</v>
      </c>
      <c r="L5" s="242">
        <v>7583</v>
      </c>
      <c r="M5" s="242">
        <v>8537</v>
      </c>
      <c r="N5" s="242">
        <v>9548</v>
      </c>
      <c r="O5" s="242">
        <v>9340</v>
      </c>
      <c r="P5" s="242">
        <v>9677</v>
      </c>
      <c r="Q5" s="323">
        <f>SUM(E5:P5)*4.7</f>
        <v>491770.4</v>
      </c>
      <c r="R5" s="323"/>
      <c r="S5" s="323"/>
      <c r="T5" s="323"/>
      <c r="U5" s="330">
        <f>Q5+Q6</f>
        <v>539777.9</v>
      </c>
      <c r="V5" s="330"/>
      <c r="W5" s="330"/>
      <c r="Z5" s="62">
        <f>Q5/5</f>
        <v>98354.08</v>
      </c>
    </row>
    <row r="6" spans="1:26" ht="20.100000000000001" customHeight="1" x14ac:dyDescent="0.2">
      <c r="A6" s="243"/>
      <c r="B6" s="322" t="s">
        <v>379</v>
      </c>
      <c r="C6" s="322"/>
      <c r="D6" s="322"/>
      <c r="E6" s="244"/>
      <c r="F6" s="244"/>
      <c r="G6" s="244"/>
      <c r="H6" s="244">
        <v>1124</v>
      </c>
      <c r="I6" s="244">
        <v>1489</v>
      </c>
      <c r="J6" s="244">
        <v>1300</v>
      </c>
      <c r="K6" s="244">
        <v>1352</v>
      </c>
      <c r="L6" s="244">
        <v>1343</v>
      </c>
      <c r="M6" s="244">
        <v>1645</v>
      </c>
      <c r="N6" s="245">
        <v>1701</v>
      </c>
      <c r="O6" s="245">
        <v>1525</v>
      </c>
      <c r="P6" s="245">
        <v>1496</v>
      </c>
      <c r="Q6" s="323">
        <f>SUM(E6:P6)*3.7</f>
        <v>48007.5</v>
      </c>
      <c r="R6" s="323"/>
      <c r="S6" s="323"/>
      <c r="T6" s="323"/>
      <c r="U6" s="331"/>
      <c r="V6" s="331"/>
      <c r="W6" s="331"/>
      <c r="Z6" s="62">
        <f>Q6/5</f>
        <v>9601.5</v>
      </c>
    </row>
    <row r="7" spans="1:26" ht="2.1" customHeight="1" thickBot="1" x14ac:dyDescent="0.25">
      <c r="A7" s="246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8"/>
      <c r="O7" s="248"/>
      <c r="P7" s="248"/>
      <c r="Q7" s="249"/>
      <c r="R7" s="249"/>
      <c r="S7" s="249"/>
      <c r="T7" s="249"/>
      <c r="U7" s="250"/>
      <c r="V7" s="250"/>
      <c r="W7" s="250"/>
      <c r="Z7" s="8">
        <f>SUM(Z5:Z6)</f>
        <v>107955.58</v>
      </c>
    </row>
    <row r="8" spans="1:26" ht="24.95" customHeight="1" thickBot="1" x14ac:dyDescent="0.25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Z8" s="152">
        <f>SUM(Z7)</f>
        <v>107955.58</v>
      </c>
    </row>
    <row r="9" spans="1:26" ht="20.100000000000001" customHeight="1" x14ac:dyDescent="0.2">
      <c r="A9" s="251"/>
      <c r="B9" s="324" t="s">
        <v>456</v>
      </c>
      <c r="C9" s="324"/>
      <c r="D9" s="324"/>
      <c r="E9" s="325" t="s">
        <v>451</v>
      </c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7"/>
      <c r="Q9" s="324" t="s">
        <v>453</v>
      </c>
      <c r="R9" s="324"/>
      <c r="S9" s="324"/>
      <c r="T9" s="324"/>
      <c r="U9" s="324"/>
      <c r="V9" s="324"/>
      <c r="W9" s="324"/>
      <c r="Z9" s="8">
        <f>Z8/12</f>
        <v>8996.2983333333341</v>
      </c>
    </row>
    <row r="10" spans="1:26" ht="20.100000000000001" customHeight="1" x14ac:dyDescent="0.2">
      <c r="A10" s="241"/>
      <c r="B10" s="390">
        <v>5</v>
      </c>
      <c r="C10" s="391"/>
      <c r="D10" s="392"/>
      <c r="E10" s="382">
        <v>90</v>
      </c>
      <c r="F10" s="382">
        <v>145</v>
      </c>
      <c r="G10" s="382">
        <v>238</v>
      </c>
      <c r="H10" s="382">
        <v>315</v>
      </c>
      <c r="I10" s="382">
        <v>244</v>
      </c>
      <c r="J10" s="382">
        <v>152</v>
      </c>
      <c r="K10" s="382">
        <v>133</v>
      </c>
      <c r="L10" s="382">
        <v>127</v>
      </c>
      <c r="M10" s="382">
        <v>132</v>
      </c>
      <c r="N10" s="382">
        <v>83</v>
      </c>
      <c r="O10" s="382">
        <v>21</v>
      </c>
      <c r="P10" s="382">
        <v>34</v>
      </c>
      <c r="Q10" s="384">
        <f>SUM(E10:P11)*B10</f>
        <v>8570</v>
      </c>
      <c r="R10" s="385"/>
      <c r="S10" s="385"/>
      <c r="T10" s="385"/>
      <c r="U10" s="385"/>
      <c r="V10" s="385"/>
      <c r="W10" s="386"/>
    </row>
    <row r="11" spans="1:26" ht="20.100000000000001" customHeight="1" thickBot="1" x14ac:dyDescent="0.25">
      <c r="A11" s="241"/>
      <c r="B11" s="393"/>
      <c r="C11" s="394"/>
      <c r="D11" s="39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7"/>
      <c r="R11" s="388"/>
      <c r="S11" s="388"/>
      <c r="T11" s="388"/>
      <c r="U11" s="388"/>
      <c r="V11" s="388"/>
      <c r="W11" s="389"/>
      <c r="Z11" s="8">
        <f>(Q10/B10)/12</f>
        <v>142.83333333333334</v>
      </c>
    </row>
    <row r="12" spans="1:26" ht="2.1" customHeight="1" thickBot="1" x14ac:dyDescent="0.25">
      <c r="A12" s="243"/>
      <c r="B12" s="252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8"/>
      <c r="O12" s="248"/>
      <c r="P12" s="248"/>
      <c r="Q12" s="249"/>
      <c r="R12" s="249"/>
      <c r="S12" s="249"/>
      <c r="T12" s="249"/>
      <c r="U12" s="250"/>
      <c r="V12" s="250"/>
      <c r="W12" s="250"/>
      <c r="Z12" s="8" t="e">
        <f t="shared" ref="Z12:Z42" si="0">(Q11/B11)/12</f>
        <v>#DIV/0!</v>
      </c>
    </row>
    <row r="13" spans="1:26" ht="24.95" customHeight="1" thickBot="1" x14ac:dyDescent="0.25">
      <c r="A13" s="332" t="s">
        <v>381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</row>
    <row r="14" spans="1:26" ht="20.100000000000001" customHeight="1" x14ac:dyDescent="0.2">
      <c r="A14" s="251"/>
      <c r="B14" s="324" t="s">
        <v>456</v>
      </c>
      <c r="C14" s="324"/>
      <c r="D14" s="324"/>
      <c r="E14" s="325" t="s">
        <v>451</v>
      </c>
      <c r="F14" s="326"/>
      <c r="G14" s="326"/>
      <c r="H14" s="326"/>
      <c r="I14" s="326"/>
      <c r="J14" s="326"/>
      <c r="K14" s="326"/>
      <c r="L14" s="326"/>
      <c r="M14" s="326"/>
      <c r="N14" s="326"/>
      <c r="O14" s="326"/>
      <c r="P14" s="327"/>
      <c r="Q14" s="324" t="s">
        <v>453</v>
      </c>
      <c r="R14" s="324"/>
      <c r="S14" s="324"/>
      <c r="T14" s="324"/>
      <c r="U14" s="324"/>
      <c r="V14" s="324"/>
      <c r="W14" s="324"/>
    </row>
    <row r="15" spans="1:26" ht="20.100000000000001" customHeight="1" x14ac:dyDescent="0.2">
      <c r="A15" s="241"/>
      <c r="B15" s="390">
        <v>5</v>
      </c>
      <c r="C15" s="391"/>
      <c r="D15" s="392"/>
      <c r="E15" s="382">
        <v>280</v>
      </c>
      <c r="F15" s="382">
        <v>324</v>
      </c>
      <c r="G15" s="382">
        <v>312</v>
      </c>
      <c r="H15" s="382">
        <v>410</v>
      </c>
      <c r="I15" s="382">
        <v>317</v>
      </c>
      <c r="J15" s="382">
        <v>234</v>
      </c>
      <c r="K15" s="382">
        <v>91</v>
      </c>
      <c r="L15" s="382">
        <v>92</v>
      </c>
      <c r="M15" s="382">
        <v>164</v>
      </c>
      <c r="N15" s="382">
        <v>309</v>
      </c>
      <c r="O15" s="382">
        <v>286</v>
      </c>
      <c r="P15" s="382">
        <v>324</v>
      </c>
      <c r="Q15" s="384">
        <f>SUM(E15:P16)*B15</f>
        <v>15715</v>
      </c>
      <c r="R15" s="385"/>
      <c r="S15" s="385"/>
      <c r="T15" s="385"/>
      <c r="U15" s="385"/>
      <c r="V15" s="385"/>
      <c r="W15" s="386"/>
    </row>
    <row r="16" spans="1:26" ht="20.100000000000001" customHeight="1" thickBot="1" x14ac:dyDescent="0.25">
      <c r="A16" s="241"/>
      <c r="B16" s="393"/>
      <c r="C16" s="394"/>
      <c r="D16" s="395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7"/>
      <c r="R16" s="388"/>
      <c r="S16" s="388"/>
      <c r="T16" s="388"/>
      <c r="U16" s="388"/>
      <c r="V16" s="388"/>
      <c r="W16" s="389"/>
      <c r="Z16" s="8">
        <f t="shared" si="0"/>
        <v>261.91666666666669</v>
      </c>
    </row>
    <row r="17" spans="1:26" ht="2.1" customHeight="1" thickBot="1" x14ac:dyDescent="0.25">
      <c r="A17" s="243"/>
      <c r="B17" s="252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8"/>
      <c r="O17" s="248"/>
      <c r="P17" s="248"/>
      <c r="Q17" s="249"/>
      <c r="R17" s="249"/>
      <c r="S17" s="249"/>
      <c r="T17" s="249"/>
      <c r="U17" s="250"/>
      <c r="V17" s="250"/>
      <c r="W17" s="250"/>
      <c r="Z17" s="8" t="e">
        <f t="shared" si="0"/>
        <v>#DIV/0!</v>
      </c>
    </row>
    <row r="18" spans="1:26" ht="24.95" customHeight="1" thickBot="1" x14ac:dyDescent="0.25">
      <c r="A18" s="332" t="s">
        <v>382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</row>
    <row r="19" spans="1:26" ht="20.100000000000001" customHeight="1" x14ac:dyDescent="0.2">
      <c r="A19" s="251"/>
      <c r="B19" s="324" t="s">
        <v>456</v>
      </c>
      <c r="C19" s="324"/>
      <c r="D19" s="324"/>
      <c r="E19" s="325" t="s">
        <v>451</v>
      </c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7"/>
      <c r="Q19" s="324" t="s">
        <v>453</v>
      </c>
      <c r="R19" s="324"/>
      <c r="S19" s="324"/>
      <c r="T19" s="324"/>
      <c r="U19" s="324"/>
      <c r="V19" s="324"/>
      <c r="W19" s="324"/>
    </row>
    <row r="20" spans="1:26" ht="20.100000000000001" customHeight="1" x14ac:dyDescent="0.2">
      <c r="A20" s="241"/>
      <c r="B20" s="390">
        <v>5</v>
      </c>
      <c r="C20" s="391"/>
      <c r="D20" s="392"/>
      <c r="E20" s="382">
        <v>18</v>
      </c>
      <c r="F20" s="382">
        <v>31</v>
      </c>
      <c r="G20" s="382">
        <v>19</v>
      </c>
      <c r="H20" s="382">
        <v>29</v>
      </c>
      <c r="I20" s="382">
        <v>35</v>
      </c>
      <c r="J20" s="382">
        <v>16</v>
      </c>
      <c r="K20" s="382">
        <v>12</v>
      </c>
      <c r="L20" s="382">
        <v>33</v>
      </c>
      <c r="M20" s="382">
        <v>63</v>
      </c>
      <c r="N20" s="382">
        <v>39</v>
      </c>
      <c r="O20" s="382">
        <v>31</v>
      </c>
      <c r="P20" s="382">
        <v>14</v>
      </c>
      <c r="Q20" s="384">
        <f>SUM(E20:P21)*B20</f>
        <v>1700</v>
      </c>
      <c r="R20" s="385"/>
      <c r="S20" s="385"/>
      <c r="T20" s="385"/>
      <c r="U20" s="385"/>
      <c r="V20" s="385"/>
      <c r="W20" s="386"/>
    </row>
    <row r="21" spans="1:26" ht="20.100000000000001" customHeight="1" thickBot="1" x14ac:dyDescent="0.25">
      <c r="A21" s="241"/>
      <c r="B21" s="393"/>
      <c r="C21" s="394"/>
      <c r="D21" s="395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7"/>
      <c r="R21" s="388"/>
      <c r="S21" s="388"/>
      <c r="T21" s="388"/>
      <c r="U21" s="388"/>
      <c r="V21" s="388"/>
      <c r="W21" s="389"/>
      <c r="Z21" s="8">
        <f t="shared" si="0"/>
        <v>28.333333333333332</v>
      </c>
    </row>
    <row r="22" spans="1:26" ht="2.1" customHeight="1" thickBot="1" x14ac:dyDescent="0.25">
      <c r="A22" s="243"/>
      <c r="B22" s="252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8"/>
      <c r="O22" s="248"/>
      <c r="P22" s="248"/>
      <c r="Q22" s="249"/>
      <c r="R22" s="249"/>
      <c r="S22" s="249"/>
      <c r="T22" s="249"/>
      <c r="U22" s="250"/>
      <c r="V22" s="250"/>
      <c r="W22" s="250"/>
      <c r="Z22" s="8" t="e">
        <f t="shared" si="0"/>
        <v>#DIV/0!</v>
      </c>
    </row>
    <row r="23" spans="1:26" ht="24.95" customHeight="1" thickBot="1" x14ac:dyDescent="0.25">
      <c r="A23" s="332" t="s">
        <v>394</v>
      </c>
      <c r="B23" s="332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</row>
    <row r="24" spans="1:26" ht="20.100000000000001" customHeight="1" x14ac:dyDescent="0.2">
      <c r="A24" s="251"/>
      <c r="B24" s="324" t="s">
        <v>456</v>
      </c>
      <c r="C24" s="324"/>
      <c r="D24" s="324"/>
      <c r="E24" s="325" t="s">
        <v>451</v>
      </c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7"/>
      <c r="Q24" s="324" t="s">
        <v>453</v>
      </c>
      <c r="R24" s="324"/>
      <c r="S24" s="324"/>
      <c r="T24" s="324"/>
      <c r="U24" s="324"/>
      <c r="V24" s="324"/>
      <c r="W24" s="324"/>
    </row>
    <row r="25" spans="1:26" ht="20.100000000000001" customHeight="1" x14ac:dyDescent="0.2">
      <c r="A25" s="241"/>
      <c r="B25" s="379">
        <v>2.35</v>
      </c>
      <c r="C25" s="321"/>
      <c r="D25" s="321"/>
      <c r="E25" s="242">
        <v>24606</v>
      </c>
      <c r="F25" s="242">
        <v>38673</v>
      </c>
      <c r="G25" s="242">
        <v>27026</v>
      </c>
      <c r="H25" s="242">
        <v>31580</v>
      </c>
      <c r="I25" s="242">
        <v>30929</v>
      </c>
      <c r="J25" s="242">
        <v>16244</v>
      </c>
      <c r="K25" s="242">
        <v>2013</v>
      </c>
      <c r="L25" s="242">
        <v>11590</v>
      </c>
      <c r="M25" s="242">
        <v>31283</v>
      </c>
      <c r="N25" s="242">
        <v>35658</v>
      </c>
      <c r="O25" s="242">
        <v>28114</v>
      </c>
      <c r="P25" s="242">
        <v>30522</v>
      </c>
      <c r="Q25" s="323">
        <f>SUM(E25:P25)*2.35</f>
        <v>724359.3</v>
      </c>
      <c r="R25" s="323"/>
      <c r="S25" s="323"/>
      <c r="T25" s="323"/>
      <c r="U25" s="330">
        <f>Q25+Q26</f>
        <v>738884.3</v>
      </c>
      <c r="V25" s="330"/>
      <c r="W25" s="376"/>
    </row>
    <row r="26" spans="1:26" ht="20.100000000000001" customHeight="1" thickBot="1" x14ac:dyDescent="0.25">
      <c r="A26" s="241"/>
      <c r="B26" s="380">
        <v>5</v>
      </c>
      <c r="C26" s="381"/>
      <c r="D26" s="381"/>
      <c r="E26" s="253">
        <v>85</v>
      </c>
      <c r="F26" s="253">
        <v>152</v>
      </c>
      <c r="G26" s="253">
        <v>135</v>
      </c>
      <c r="H26" s="253">
        <v>1749</v>
      </c>
      <c r="I26" s="253">
        <v>148</v>
      </c>
      <c r="J26" s="253">
        <v>92</v>
      </c>
      <c r="K26" s="253">
        <v>6</v>
      </c>
      <c r="L26" s="253">
        <v>65</v>
      </c>
      <c r="M26" s="253">
        <v>136</v>
      </c>
      <c r="N26" s="253">
        <v>93</v>
      </c>
      <c r="O26" s="253">
        <v>110</v>
      </c>
      <c r="P26" s="253">
        <v>134</v>
      </c>
      <c r="Q26" s="323">
        <f>SUM(E26:P26)*5</f>
        <v>14525</v>
      </c>
      <c r="R26" s="323"/>
      <c r="S26" s="323"/>
      <c r="T26" s="323"/>
      <c r="U26" s="377"/>
      <c r="V26" s="377"/>
      <c r="W26" s="378"/>
      <c r="Z26" s="8">
        <f t="shared" si="0"/>
        <v>25686.5</v>
      </c>
    </row>
    <row r="27" spans="1:26" ht="2.1" customHeight="1" thickBot="1" x14ac:dyDescent="0.25">
      <c r="A27" s="154"/>
      <c r="B27" s="162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7"/>
      <c r="O27" s="157"/>
      <c r="P27" s="157"/>
      <c r="Q27" s="158"/>
      <c r="R27" s="158"/>
      <c r="S27" s="158"/>
      <c r="T27" s="158"/>
      <c r="U27" s="151"/>
      <c r="V27" s="151"/>
      <c r="W27" s="151"/>
      <c r="Z27" s="8">
        <f t="shared" si="0"/>
        <v>242.08333333333334</v>
      </c>
    </row>
    <row r="28" spans="1:26" ht="24.95" customHeight="1" thickBot="1" x14ac:dyDescent="0.25">
      <c r="A28" s="328" t="s">
        <v>383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</row>
    <row r="29" spans="1:26" ht="20.100000000000001" customHeight="1" x14ac:dyDescent="0.2">
      <c r="A29" s="153"/>
      <c r="B29" s="320" t="s">
        <v>456</v>
      </c>
      <c r="C29" s="320"/>
      <c r="D29" s="320"/>
      <c r="E29" s="312" t="s">
        <v>451</v>
      </c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4"/>
      <c r="Q29" s="320" t="s">
        <v>453</v>
      </c>
      <c r="R29" s="320"/>
      <c r="S29" s="320"/>
      <c r="T29" s="320"/>
      <c r="U29" s="320"/>
      <c r="V29" s="320"/>
      <c r="W29" s="320"/>
    </row>
    <row r="30" spans="1:26" ht="20.100000000000001" customHeight="1" x14ac:dyDescent="0.2">
      <c r="A30" s="241"/>
      <c r="B30" s="390">
        <v>5</v>
      </c>
      <c r="C30" s="391"/>
      <c r="D30" s="392"/>
      <c r="E30" s="382">
        <v>186659</v>
      </c>
      <c r="F30" s="382">
        <v>214171</v>
      </c>
      <c r="G30" s="382">
        <v>174294</v>
      </c>
      <c r="H30" s="382">
        <v>199476</v>
      </c>
      <c r="I30" s="382">
        <v>186877</v>
      </c>
      <c r="J30" s="382">
        <v>166418</v>
      </c>
      <c r="K30" s="382">
        <v>164055</v>
      </c>
      <c r="L30" s="382">
        <v>161013</v>
      </c>
      <c r="M30" s="382">
        <v>183431</v>
      </c>
      <c r="N30" s="382">
        <v>195324</v>
      </c>
      <c r="O30" s="382">
        <v>178934</v>
      </c>
      <c r="P30" s="382">
        <v>181456</v>
      </c>
      <c r="Q30" s="384">
        <f>SUM(E30:P31)*B30</f>
        <v>10960540</v>
      </c>
      <c r="R30" s="385"/>
      <c r="S30" s="385"/>
      <c r="T30" s="385"/>
      <c r="U30" s="385"/>
      <c r="V30" s="385"/>
      <c r="W30" s="386"/>
    </row>
    <row r="31" spans="1:26" ht="20.100000000000001" customHeight="1" thickBot="1" x14ac:dyDescent="0.25">
      <c r="A31" s="241"/>
      <c r="B31" s="393"/>
      <c r="C31" s="394"/>
      <c r="D31" s="395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7"/>
      <c r="R31" s="388"/>
      <c r="S31" s="388"/>
      <c r="T31" s="388"/>
      <c r="U31" s="388"/>
      <c r="V31" s="388"/>
      <c r="W31" s="389"/>
      <c r="Z31" s="8">
        <f t="shared" si="0"/>
        <v>182675.66666666666</v>
      </c>
    </row>
    <row r="32" spans="1:26" ht="2.1" customHeight="1" thickBot="1" x14ac:dyDescent="0.25">
      <c r="A32" s="243"/>
      <c r="B32" s="252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8"/>
      <c r="O32" s="248"/>
      <c r="P32" s="248"/>
      <c r="Q32" s="249"/>
      <c r="R32" s="249"/>
      <c r="S32" s="249"/>
      <c r="T32" s="249"/>
      <c r="U32" s="250"/>
      <c r="V32" s="250"/>
      <c r="W32" s="250"/>
      <c r="Z32" s="8" t="e">
        <f t="shared" si="0"/>
        <v>#DIV/0!</v>
      </c>
    </row>
    <row r="33" spans="1:26" ht="24.95" customHeight="1" thickBot="1" x14ac:dyDescent="0.25">
      <c r="A33" s="332" t="s">
        <v>384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</row>
    <row r="34" spans="1:26" ht="20.100000000000001" customHeight="1" x14ac:dyDescent="0.2">
      <c r="A34" s="251"/>
      <c r="B34" s="324" t="s">
        <v>456</v>
      </c>
      <c r="C34" s="324"/>
      <c r="D34" s="324"/>
      <c r="E34" s="325" t="s">
        <v>451</v>
      </c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7"/>
      <c r="Q34" s="324" t="s">
        <v>453</v>
      </c>
      <c r="R34" s="324"/>
      <c r="S34" s="324"/>
      <c r="T34" s="324"/>
      <c r="U34" s="324"/>
      <c r="V34" s="324"/>
      <c r="W34" s="324"/>
    </row>
    <row r="35" spans="1:26" ht="20.100000000000001" customHeight="1" x14ac:dyDescent="0.2">
      <c r="A35" s="241"/>
      <c r="B35" s="390">
        <v>5</v>
      </c>
      <c r="C35" s="391"/>
      <c r="D35" s="392"/>
      <c r="E35" s="382">
        <v>1294</v>
      </c>
      <c r="F35" s="382">
        <v>1361</v>
      </c>
      <c r="G35" s="382">
        <v>1095</v>
      </c>
      <c r="H35" s="382">
        <v>1176</v>
      </c>
      <c r="I35" s="382">
        <v>1116</v>
      </c>
      <c r="J35" s="382">
        <v>1433</v>
      </c>
      <c r="K35" s="382">
        <v>1696</v>
      </c>
      <c r="L35" s="382">
        <v>1568</v>
      </c>
      <c r="M35" s="382">
        <v>1897</v>
      </c>
      <c r="N35" s="382">
        <v>1897</v>
      </c>
      <c r="O35" s="382">
        <v>1259</v>
      </c>
      <c r="P35" s="382">
        <v>1139</v>
      </c>
      <c r="Q35" s="384">
        <f>SUM(E35:P36)*B35</f>
        <v>84655</v>
      </c>
      <c r="R35" s="385"/>
      <c r="S35" s="385"/>
      <c r="T35" s="385"/>
      <c r="U35" s="385"/>
      <c r="V35" s="385"/>
      <c r="W35" s="386"/>
    </row>
    <row r="36" spans="1:26" ht="20.100000000000001" customHeight="1" thickBot="1" x14ac:dyDescent="0.25">
      <c r="A36" s="241"/>
      <c r="B36" s="393"/>
      <c r="C36" s="394"/>
      <c r="D36" s="395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7"/>
      <c r="R36" s="388"/>
      <c r="S36" s="388"/>
      <c r="T36" s="388"/>
      <c r="U36" s="388"/>
      <c r="V36" s="388"/>
      <c r="W36" s="389"/>
      <c r="Z36" s="8">
        <f t="shared" si="0"/>
        <v>1410.9166666666667</v>
      </c>
    </row>
    <row r="37" spans="1:26" ht="2.1" customHeight="1" thickBot="1" x14ac:dyDescent="0.25">
      <c r="A37" s="154"/>
      <c r="B37" s="162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7"/>
      <c r="O37" s="157"/>
      <c r="P37" s="157"/>
      <c r="Q37" s="158"/>
      <c r="R37" s="158"/>
      <c r="S37" s="158"/>
      <c r="T37" s="158"/>
      <c r="U37" s="151"/>
      <c r="V37" s="151"/>
      <c r="W37" s="151"/>
      <c r="Z37" s="8" t="e">
        <f t="shared" si="0"/>
        <v>#DIV/0!</v>
      </c>
    </row>
    <row r="38" spans="1:26" ht="20.100000000000001" customHeight="1" thickBot="1" x14ac:dyDescent="0.25">
      <c r="A38" s="328" t="s">
        <v>385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</row>
    <row r="39" spans="1:26" ht="20.100000000000001" customHeight="1" x14ac:dyDescent="0.2">
      <c r="A39" s="153"/>
      <c r="B39" s="320" t="s">
        <v>456</v>
      </c>
      <c r="C39" s="320"/>
      <c r="D39" s="320"/>
      <c r="E39" s="312" t="s">
        <v>451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4"/>
      <c r="Q39" s="320" t="s">
        <v>453</v>
      </c>
      <c r="R39" s="320"/>
      <c r="S39" s="320"/>
      <c r="T39" s="320"/>
      <c r="U39" s="320"/>
      <c r="V39" s="320"/>
      <c r="W39" s="320"/>
    </row>
    <row r="40" spans="1:26" ht="20.100000000000001" customHeight="1" x14ac:dyDescent="0.2">
      <c r="A40" s="146"/>
      <c r="B40" s="402">
        <v>5</v>
      </c>
      <c r="C40" s="403"/>
      <c r="D40" s="404"/>
      <c r="E40" s="368">
        <v>48322</v>
      </c>
      <c r="F40" s="368">
        <v>54950</v>
      </c>
      <c r="G40" s="368">
        <v>44732</v>
      </c>
      <c r="H40" s="368">
        <v>49044</v>
      </c>
      <c r="I40" s="368">
        <v>45022</v>
      </c>
      <c r="J40" s="368">
        <v>47661</v>
      </c>
      <c r="K40" s="368">
        <v>43369</v>
      </c>
      <c r="L40" s="368">
        <v>42751</v>
      </c>
      <c r="M40" s="368">
        <v>47762</v>
      </c>
      <c r="N40" s="368">
        <v>49170</v>
      </c>
      <c r="O40" s="368">
        <v>55308</v>
      </c>
      <c r="P40" s="368">
        <v>54950</v>
      </c>
      <c r="Q40" s="370">
        <f>SUM(E40:P41)*B40</f>
        <v>2915205</v>
      </c>
      <c r="R40" s="371"/>
      <c r="S40" s="371"/>
      <c r="T40" s="371"/>
      <c r="U40" s="371"/>
      <c r="V40" s="371"/>
      <c r="W40" s="372"/>
    </row>
    <row r="41" spans="1:26" ht="20.100000000000001" customHeight="1" thickBot="1" x14ac:dyDescent="0.25">
      <c r="A41" s="146"/>
      <c r="B41" s="405"/>
      <c r="C41" s="406"/>
      <c r="D41" s="407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73"/>
      <c r="R41" s="374"/>
      <c r="S41" s="374"/>
      <c r="T41" s="374"/>
      <c r="U41" s="374"/>
      <c r="V41" s="374"/>
      <c r="W41" s="375"/>
      <c r="Z41" s="8">
        <f t="shared" si="0"/>
        <v>48586.75</v>
      </c>
    </row>
    <row r="42" spans="1:26" ht="2.1" customHeight="1" thickBot="1" x14ac:dyDescent="0.25">
      <c r="A42" s="154"/>
      <c r="B42" s="162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7"/>
      <c r="O42" s="157"/>
      <c r="P42" s="157"/>
      <c r="Q42" s="158"/>
      <c r="R42" s="158"/>
      <c r="S42" s="158"/>
      <c r="T42" s="158"/>
      <c r="U42" s="151"/>
      <c r="V42" s="151"/>
      <c r="W42" s="151"/>
      <c r="Z42" s="8" t="e">
        <f t="shared" si="0"/>
        <v>#DIV/0!</v>
      </c>
    </row>
    <row r="43" spans="1:26" ht="24.95" customHeight="1" thickBot="1" x14ac:dyDescent="0.25">
      <c r="A43" s="338" t="s">
        <v>104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</row>
    <row r="44" spans="1:26" ht="20.100000000000001" customHeight="1" x14ac:dyDescent="0.2">
      <c r="A44" s="164"/>
      <c r="B44" s="365" t="s">
        <v>388</v>
      </c>
      <c r="C44" s="339"/>
      <c r="D44" s="366"/>
      <c r="E44" s="339" t="s">
        <v>457</v>
      </c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40"/>
      <c r="Q44" s="339" t="s">
        <v>452</v>
      </c>
      <c r="R44" s="339"/>
      <c r="S44" s="339"/>
      <c r="T44" s="339"/>
      <c r="U44" s="339"/>
      <c r="V44" s="339"/>
      <c r="W44" s="340"/>
      <c r="Z44" s="62">
        <f>Z9+Z11+Z16+Z21+Z26+Z31+Z36+Z41</f>
        <v>267789.21499999997</v>
      </c>
    </row>
    <row r="45" spans="1:26" ht="20.100000000000001" customHeight="1" x14ac:dyDescent="0.2">
      <c r="A45" s="165"/>
      <c r="B45" s="316" t="s">
        <v>386</v>
      </c>
      <c r="C45" s="317"/>
      <c r="D45" s="318"/>
      <c r="E45" s="177">
        <v>29313</v>
      </c>
      <c r="F45" s="177">
        <v>36098</v>
      </c>
      <c r="G45" s="177">
        <v>29245</v>
      </c>
      <c r="H45" s="177">
        <v>33170</v>
      </c>
      <c r="I45" s="177">
        <v>32742</v>
      </c>
      <c r="J45" s="177">
        <v>34182</v>
      </c>
      <c r="K45" s="177">
        <v>33493</v>
      </c>
      <c r="L45" s="177">
        <v>31550</v>
      </c>
      <c r="M45" s="177">
        <v>35931</v>
      </c>
      <c r="N45" s="201">
        <v>37095</v>
      </c>
      <c r="O45" s="177">
        <v>35445</v>
      </c>
      <c r="P45" s="202">
        <v>36098</v>
      </c>
      <c r="Q45" s="319">
        <f>SUM(E45:K45)*4.7+SUM(L45:P45)*5</f>
        <v>1953337.1</v>
      </c>
      <c r="R45" s="319"/>
      <c r="S45" s="319"/>
      <c r="T45" s="319"/>
      <c r="U45" s="341">
        <f>Q45+Q46+Q47</f>
        <v>4133069.8000000003</v>
      </c>
      <c r="V45" s="342"/>
      <c r="W45" s="343"/>
    </row>
    <row r="46" spans="1:26" ht="20.100000000000001" customHeight="1" x14ac:dyDescent="0.2">
      <c r="A46" s="165"/>
      <c r="B46" s="316" t="s">
        <v>387</v>
      </c>
      <c r="C46" s="317"/>
      <c r="D46" s="318"/>
      <c r="E46" s="177">
        <v>14328</v>
      </c>
      <c r="F46" s="177">
        <v>14520</v>
      </c>
      <c r="G46" s="177">
        <v>11562</v>
      </c>
      <c r="H46" s="177">
        <v>16078</v>
      </c>
      <c r="I46" s="177">
        <v>15804</v>
      </c>
      <c r="J46" s="177">
        <v>15959</v>
      </c>
      <c r="K46" s="177">
        <v>14678</v>
      </c>
      <c r="L46" s="177">
        <v>14281</v>
      </c>
      <c r="M46" s="177">
        <v>15813</v>
      </c>
      <c r="N46" s="201">
        <v>16081</v>
      </c>
      <c r="O46" s="201">
        <v>14539</v>
      </c>
      <c r="P46" s="203">
        <v>14520</v>
      </c>
      <c r="Q46" s="319">
        <f>SUM(E46:K46)*4.7+SUM(L46:P46)*5</f>
        <v>859936.3</v>
      </c>
      <c r="R46" s="319"/>
      <c r="S46" s="319"/>
      <c r="T46" s="319"/>
      <c r="U46" s="344"/>
      <c r="V46" s="345"/>
      <c r="W46" s="346"/>
    </row>
    <row r="47" spans="1:26" ht="20.100000000000001" customHeight="1" thickBot="1" x14ac:dyDescent="0.25">
      <c r="A47" s="166"/>
      <c r="B47" s="334" t="s">
        <v>97</v>
      </c>
      <c r="C47" s="335"/>
      <c r="D47" s="336"/>
      <c r="E47" s="200">
        <v>22380</v>
      </c>
      <c r="F47" s="200">
        <v>22850</v>
      </c>
      <c r="G47" s="200">
        <v>19712</v>
      </c>
      <c r="H47" s="200">
        <v>26057</v>
      </c>
      <c r="I47" s="200">
        <v>25285</v>
      </c>
      <c r="J47" s="200">
        <v>22377</v>
      </c>
      <c r="K47" s="200">
        <v>19651</v>
      </c>
      <c r="L47" s="200">
        <v>19966</v>
      </c>
      <c r="M47" s="200">
        <v>24707</v>
      </c>
      <c r="N47" s="204">
        <v>25171</v>
      </c>
      <c r="O47" s="204">
        <v>22452</v>
      </c>
      <c r="P47" s="205">
        <v>22850</v>
      </c>
      <c r="Q47" s="319">
        <f>SUM(E47:K47)*4.7+SUM(L47:P47)*5</f>
        <v>1319796.3999999999</v>
      </c>
      <c r="R47" s="319"/>
      <c r="S47" s="319"/>
      <c r="T47" s="319"/>
      <c r="U47" s="347"/>
      <c r="V47" s="348"/>
      <c r="W47" s="349"/>
    </row>
    <row r="48" spans="1:26" ht="2.1" customHeight="1" thickBot="1" x14ac:dyDescent="0.25">
      <c r="A48" s="155"/>
      <c r="B48" s="162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7"/>
      <c r="O48" s="157"/>
      <c r="P48" s="157"/>
      <c r="Q48" s="158"/>
      <c r="R48" s="158"/>
      <c r="S48" s="158"/>
      <c r="T48" s="158"/>
      <c r="U48" s="163"/>
      <c r="V48" s="163"/>
      <c r="W48" s="163"/>
    </row>
    <row r="49" spans="1:29" ht="30" customHeight="1" thickBot="1" x14ac:dyDescent="0.25">
      <c r="A49" s="350" t="s">
        <v>454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37">
        <f>U5+Q10+Q15+Q20+U25+Q30+Q35+Q40</f>
        <v>15265047.199999999</v>
      </c>
      <c r="R49" s="337"/>
      <c r="S49" s="337"/>
      <c r="T49" s="337"/>
      <c r="U49" s="337"/>
      <c r="V49" s="337"/>
      <c r="W49" s="337"/>
    </row>
    <row r="50" spans="1:29" ht="2.1" customHeight="1" x14ac:dyDescent="0.2">
      <c r="A50" s="159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1"/>
      <c r="R50" s="161"/>
      <c r="S50" s="161"/>
      <c r="T50" s="161"/>
      <c r="U50" s="161"/>
      <c r="V50" s="161"/>
      <c r="W50" s="161"/>
    </row>
    <row r="51" spans="1:29" ht="15" customHeight="1" x14ac:dyDescent="0.2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9"/>
      <c r="R51" s="149"/>
      <c r="S51" s="149"/>
      <c r="T51" s="149"/>
      <c r="U51" s="150"/>
      <c r="V51" s="150"/>
      <c r="W51" s="150"/>
    </row>
    <row r="52" spans="1:29" ht="15" customHeight="1" x14ac:dyDescent="0.6">
      <c r="A52" s="352" t="s">
        <v>455</v>
      </c>
      <c r="B52" s="353"/>
      <c r="C52" s="353"/>
      <c r="D52" s="353"/>
      <c r="E52" s="353"/>
      <c r="F52" s="353"/>
      <c r="G52" s="353"/>
      <c r="H52" s="353"/>
      <c r="I52" s="353"/>
      <c r="J52" s="356">
        <f>Q49/12</f>
        <v>1272087.2666666666</v>
      </c>
      <c r="K52" s="357"/>
      <c r="L52" s="357"/>
      <c r="M52" s="357"/>
      <c r="N52" s="357"/>
      <c r="O52" s="357"/>
      <c r="P52" s="357"/>
      <c r="Q52" s="358"/>
      <c r="R52" s="206"/>
      <c r="S52" s="367"/>
      <c r="T52" s="367"/>
      <c r="U52" s="367"/>
      <c r="V52" s="367"/>
      <c r="W52" s="367"/>
      <c r="Z52" s="62"/>
    </row>
    <row r="53" spans="1:29" ht="15" customHeight="1" x14ac:dyDescent="0.6">
      <c r="A53" s="354"/>
      <c r="B53" s="355"/>
      <c r="C53" s="355"/>
      <c r="D53" s="355"/>
      <c r="E53" s="355"/>
      <c r="F53" s="355"/>
      <c r="G53" s="355"/>
      <c r="H53" s="355"/>
      <c r="I53" s="355"/>
      <c r="J53" s="359"/>
      <c r="K53" s="360"/>
      <c r="L53" s="360"/>
      <c r="M53" s="360"/>
      <c r="N53" s="360"/>
      <c r="O53" s="360"/>
      <c r="P53" s="360"/>
      <c r="Q53" s="361"/>
      <c r="R53" s="206"/>
      <c r="S53" s="206"/>
      <c r="T53" s="206"/>
      <c r="U53" s="206"/>
      <c r="V53" s="206"/>
      <c r="W53" s="206"/>
      <c r="Z53" s="158">
        <f>J52/5</f>
        <v>254417.45333333331</v>
      </c>
    </row>
    <row r="54" spans="1:29" ht="15" customHeight="1" x14ac:dyDescent="0.6">
      <c r="J54" s="362"/>
      <c r="K54" s="363"/>
      <c r="L54" s="363"/>
      <c r="M54" s="363"/>
      <c r="N54" s="363"/>
      <c r="O54" s="363"/>
      <c r="P54" s="363"/>
      <c r="Q54" s="364"/>
      <c r="R54" s="206"/>
      <c r="S54" s="206"/>
      <c r="T54" s="206"/>
      <c r="U54" s="206"/>
      <c r="V54" s="206"/>
      <c r="W54" s="206"/>
      <c r="Z54" s="62"/>
    </row>
    <row r="55" spans="1:29" ht="15" customHeight="1" x14ac:dyDescent="0.6">
      <c r="J55" s="208"/>
      <c r="K55" s="208"/>
      <c r="L55" s="208"/>
      <c r="M55" s="208"/>
      <c r="N55" s="208"/>
      <c r="O55" s="208"/>
      <c r="P55" s="208"/>
      <c r="Q55" s="208"/>
      <c r="R55" s="206"/>
      <c r="S55" s="206"/>
      <c r="T55" s="206"/>
      <c r="U55" s="206"/>
      <c r="V55" s="206"/>
      <c r="W55" s="206"/>
      <c r="Z55" s="62"/>
    </row>
    <row r="56" spans="1:29" ht="15" customHeight="1" x14ac:dyDescent="0.6">
      <c r="A56" s="397" t="s">
        <v>458</v>
      </c>
      <c r="B56" s="397"/>
      <c r="C56" s="397"/>
      <c r="D56" s="397"/>
      <c r="E56" s="397"/>
      <c r="F56" s="397"/>
      <c r="G56" s="397"/>
      <c r="H56" s="397"/>
      <c r="I56" s="399">
        <f>(SUM(E5:P5)+SUM(E6:P6)+SUM(E10:P11)+SUM(E15:P16)+SUM(E20:P21)+SUM(E25:P25)+SUM(E26:P26)+SUM(E30:P31)+SUM(E35:P36)+SUM(E40:P41)+SUM(E45:P45)+SUM(E46:P46)+SUM(E47:P47))/12</f>
        <v>340167.5</v>
      </c>
      <c r="J56" s="400"/>
      <c r="K56" s="400"/>
      <c r="L56" s="400"/>
      <c r="M56" s="208"/>
      <c r="N56" s="208"/>
      <c r="O56" s="208"/>
      <c r="P56" s="208"/>
      <c r="Q56" s="208"/>
      <c r="R56" s="206"/>
      <c r="S56" s="206"/>
      <c r="T56" s="206"/>
      <c r="U56" s="206"/>
      <c r="V56" s="206"/>
      <c r="W56" s="206"/>
      <c r="Z56" s="62"/>
    </row>
    <row r="57" spans="1:29" ht="15" customHeight="1" x14ac:dyDescent="0.6">
      <c r="A57" s="398"/>
      <c r="B57" s="398"/>
      <c r="C57" s="398"/>
      <c r="D57" s="398"/>
      <c r="E57" s="398"/>
      <c r="F57" s="398"/>
      <c r="G57" s="398"/>
      <c r="H57" s="398"/>
      <c r="I57" s="401"/>
      <c r="J57" s="401"/>
      <c r="K57" s="401"/>
      <c r="L57" s="401"/>
      <c r="M57" s="208"/>
      <c r="N57" s="208"/>
      <c r="O57" s="208"/>
      <c r="P57" s="208"/>
      <c r="Q57" s="208"/>
      <c r="R57" s="206"/>
      <c r="S57" s="206"/>
      <c r="T57" s="206"/>
      <c r="U57" s="206"/>
      <c r="V57" s="206"/>
      <c r="W57" s="206"/>
      <c r="Z57" s="62"/>
    </row>
    <row r="58" spans="1:29" ht="13.35" customHeight="1" x14ac:dyDescent="0.2">
      <c r="A58" s="333" t="s">
        <v>512</v>
      </c>
      <c r="B58" s="333"/>
      <c r="C58" s="333"/>
      <c r="D58" s="333"/>
      <c r="E58" s="333"/>
      <c r="F58" s="333"/>
      <c r="G58" s="333"/>
      <c r="H58" s="333"/>
      <c r="I58" s="333"/>
      <c r="J58" s="333"/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W58" s="56"/>
      <c r="X58" s="56"/>
      <c r="Y58" s="56"/>
      <c r="Z58" s="56"/>
      <c r="AA58" s="56"/>
      <c r="AB58" s="56"/>
      <c r="AC58" s="56"/>
    </row>
    <row r="59" spans="1:29" x14ac:dyDescent="0.2">
      <c r="A59" s="333"/>
      <c r="B59" s="333"/>
      <c r="C59" s="333"/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W59" s="56"/>
      <c r="X59" s="56"/>
      <c r="Y59" s="56"/>
      <c r="Z59" s="56"/>
      <c r="AA59" s="56"/>
      <c r="AB59" s="56"/>
      <c r="AC59" s="56"/>
    </row>
    <row r="60" spans="1:29" x14ac:dyDescent="0.2">
      <c r="A60" s="396" t="s">
        <v>513</v>
      </c>
      <c r="B60" s="396"/>
      <c r="C60" s="396"/>
      <c r="D60" s="396"/>
      <c r="E60" s="396"/>
      <c r="F60" s="396"/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96"/>
      <c r="R60" s="396"/>
      <c r="S60" s="396"/>
      <c r="T60" s="396"/>
    </row>
  </sheetData>
  <mergeCells count="147">
    <mergeCell ref="A60:T60"/>
    <mergeCell ref="A56:H57"/>
    <mergeCell ref="I56:L57"/>
    <mergeCell ref="N35:N36"/>
    <mergeCell ref="O35:O36"/>
    <mergeCell ref="P35:P36"/>
    <mergeCell ref="Q35:W36"/>
    <mergeCell ref="B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O40:O41"/>
    <mergeCell ref="I35:I36"/>
    <mergeCell ref="J35:J36"/>
    <mergeCell ref="K35:K36"/>
    <mergeCell ref="L35:L36"/>
    <mergeCell ref="M35:M36"/>
    <mergeCell ref="P20:P21"/>
    <mergeCell ref="Q20:W21"/>
    <mergeCell ref="B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W31"/>
    <mergeCell ref="K15:K16"/>
    <mergeCell ref="L15:L16"/>
    <mergeCell ref="M15:M16"/>
    <mergeCell ref="B15:D16"/>
    <mergeCell ref="E15:E16"/>
    <mergeCell ref="F15:F16"/>
    <mergeCell ref="E35:E36"/>
    <mergeCell ref="F35:F36"/>
    <mergeCell ref="G35:G36"/>
    <mergeCell ref="H35:H36"/>
    <mergeCell ref="B35:D36"/>
    <mergeCell ref="N10:N11"/>
    <mergeCell ref="O10:O11"/>
    <mergeCell ref="P10:P11"/>
    <mergeCell ref="Q10:W11"/>
    <mergeCell ref="B10:D11"/>
    <mergeCell ref="E39:P39"/>
    <mergeCell ref="B39:D39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5:N16"/>
    <mergeCell ref="O15:O16"/>
    <mergeCell ref="P15:P16"/>
    <mergeCell ref="Q15:W16"/>
    <mergeCell ref="B20:D21"/>
    <mergeCell ref="E20:E21"/>
    <mergeCell ref="F20:F21"/>
    <mergeCell ref="G20:G21"/>
    <mergeCell ref="Q40:W41"/>
    <mergeCell ref="U25:W26"/>
    <mergeCell ref="Q26:T26"/>
    <mergeCell ref="Q29:W29"/>
    <mergeCell ref="B25:D25"/>
    <mergeCell ref="E24:P24"/>
    <mergeCell ref="Q25:T25"/>
    <mergeCell ref="A13:W13"/>
    <mergeCell ref="B26:D26"/>
    <mergeCell ref="E34:P34"/>
    <mergeCell ref="B34:D34"/>
    <mergeCell ref="E29:P29"/>
    <mergeCell ref="G15:G16"/>
    <mergeCell ref="H15:H16"/>
    <mergeCell ref="H20:H21"/>
    <mergeCell ref="I20:I21"/>
    <mergeCell ref="J20:J21"/>
    <mergeCell ref="K20:K21"/>
    <mergeCell ref="L20:L21"/>
    <mergeCell ref="M20:M21"/>
    <mergeCell ref="N20:N21"/>
    <mergeCell ref="O20:O21"/>
    <mergeCell ref="I15:I16"/>
    <mergeCell ref="J15:J16"/>
    <mergeCell ref="A58:T59"/>
    <mergeCell ref="B19:D19"/>
    <mergeCell ref="B47:D47"/>
    <mergeCell ref="Q47:T47"/>
    <mergeCell ref="Q49:W49"/>
    <mergeCell ref="A28:W28"/>
    <mergeCell ref="A33:W33"/>
    <mergeCell ref="A38:W38"/>
    <mergeCell ref="A43:W43"/>
    <mergeCell ref="Q34:W34"/>
    <mergeCell ref="B29:D29"/>
    <mergeCell ref="Q39:W39"/>
    <mergeCell ref="A23:W23"/>
    <mergeCell ref="Q44:W44"/>
    <mergeCell ref="U45:W47"/>
    <mergeCell ref="A49:P49"/>
    <mergeCell ref="A52:I53"/>
    <mergeCell ref="J52:Q54"/>
    <mergeCell ref="B46:D46"/>
    <mergeCell ref="Q46:T46"/>
    <mergeCell ref="B44:D44"/>
    <mergeCell ref="E44:P44"/>
    <mergeCell ref="S52:W52"/>
    <mergeCell ref="P40:P41"/>
    <mergeCell ref="E4:P4"/>
    <mergeCell ref="A1:W1"/>
    <mergeCell ref="B45:D45"/>
    <mergeCell ref="Q45:T45"/>
    <mergeCell ref="Q4:W4"/>
    <mergeCell ref="B5:D5"/>
    <mergeCell ref="B6:D6"/>
    <mergeCell ref="B4:D4"/>
    <mergeCell ref="Q6:T6"/>
    <mergeCell ref="Q5:T5"/>
    <mergeCell ref="Q24:W24"/>
    <mergeCell ref="B9:D9"/>
    <mergeCell ref="B14:D14"/>
    <mergeCell ref="B24:D24"/>
    <mergeCell ref="E9:P9"/>
    <mergeCell ref="A3:W3"/>
    <mergeCell ref="U5:W6"/>
    <mergeCell ref="Q9:W9"/>
    <mergeCell ref="Q14:W14"/>
    <mergeCell ref="Q19:W19"/>
    <mergeCell ref="A8:W8"/>
    <mergeCell ref="E19:P19"/>
    <mergeCell ref="E14:P14"/>
    <mergeCell ref="A18:W18"/>
  </mergeCells>
  <phoneticPr fontId="51" type="noConversion"/>
  <pageMargins left="0.511811024" right="0.511811024" top="0.78740157499999996" bottom="0.78740157499999996" header="0.31496062000000002" footer="0.31496062000000002"/>
  <pageSetup paperSize="9" scale="51" orientation="portrait" r:id="rId1"/>
  <ignoredErrors>
    <ignoredError sqref="R26:T26 R25:T25 Q26 Q25 I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5"/>
  <sheetViews>
    <sheetView workbookViewId="0">
      <selection activeCell="E70" sqref="E70:Q78"/>
    </sheetView>
  </sheetViews>
  <sheetFormatPr defaultRowHeight="15" x14ac:dyDescent="0.25"/>
  <cols>
    <col min="1" max="1" width="5.7109375" customWidth="1"/>
    <col min="2" max="28" width="3.7109375" customWidth="1"/>
    <col min="29" max="29" width="9.7109375" customWidth="1"/>
    <col min="30" max="30" width="19.140625" customWidth="1"/>
  </cols>
  <sheetData>
    <row r="1" spans="1:37" ht="13.5" customHeight="1" x14ac:dyDescent="0.4">
      <c r="A1" s="463" t="s">
        <v>109</v>
      </c>
      <c r="B1" s="464"/>
      <c r="C1" s="464"/>
      <c r="D1" s="464"/>
      <c r="E1" s="46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37" ht="13.5" customHeight="1" x14ac:dyDescent="0.25">
      <c r="A2" s="428" t="s">
        <v>239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</row>
    <row r="3" spans="1:37" ht="13.5" customHeight="1" x14ac:dyDescent="0.25">
      <c r="A3" s="1"/>
      <c r="B3" s="90" t="s">
        <v>267</v>
      </c>
      <c r="C3" s="90" t="s">
        <v>268</v>
      </c>
      <c r="D3" s="90" t="s">
        <v>269</v>
      </c>
      <c r="E3" s="90" t="s">
        <v>270</v>
      </c>
      <c r="F3" s="90" t="s">
        <v>271</v>
      </c>
      <c r="G3" s="90" t="s">
        <v>272</v>
      </c>
      <c r="H3" s="90" t="s">
        <v>273</v>
      </c>
      <c r="I3" s="90" t="s">
        <v>274</v>
      </c>
      <c r="J3" s="90" t="s">
        <v>275</v>
      </c>
      <c r="K3" s="90" t="s">
        <v>276</v>
      </c>
      <c r="L3" s="90" t="s">
        <v>277</v>
      </c>
      <c r="M3" s="90" t="s">
        <v>278</v>
      </c>
      <c r="N3" s="90" t="s">
        <v>279</v>
      </c>
      <c r="O3" s="90" t="s">
        <v>280</v>
      </c>
      <c r="P3" s="90" t="s">
        <v>281</v>
      </c>
      <c r="Q3" s="90" t="s">
        <v>282</v>
      </c>
      <c r="R3" s="90" t="s">
        <v>283</v>
      </c>
      <c r="S3" s="90" t="s">
        <v>284</v>
      </c>
      <c r="T3" s="90" t="s">
        <v>285</v>
      </c>
      <c r="U3" s="90" t="s">
        <v>286</v>
      </c>
      <c r="V3" s="90" t="s">
        <v>287</v>
      </c>
      <c r="W3" s="466" t="s">
        <v>264</v>
      </c>
      <c r="X3" s="466"/>
      <c r="Y3" s="466"/>
      <c r="Z3" s="459" t="s">
        <v>288</v>
      </c>
      <c r="AA3" s="459"/>
      <c r="AB3" s="459"/>
      <c r="AD3" s="485" t="s">
        <v>334</v>
      </c>
      <c r="AE3" s="483" t="s">
        <v>335</v>
      </c>
      <c r="AF3" s="483"/>
      <c r="AG3" s="483"/>
      <c r="AH3" s="484" t="s">
        <v>206</v>
      </c>
      <c r="AI3" s="484"/>
      <c r="AJ3" s="484" t="s">
        <v>207</v>
      </c>
      <c r="AK3" s="484"/>
    </row>
    <row r="4" spans="1:37" ht="12.95" customHeight="1" x14ac:dyDescent="0.25">
      <c r="A4" s="91" t="s">
        <v>70</v>
      </c>
      <c r="B4" s="92">
        <v>1</v>
      </c>
      <c r="C4" s="93">
        <v>0</v>
      </c>
      <c r="D4" s="93">
        <v>1</v>
      </c>
      <c r="E4" s="93">
        <v>1</v>
      </c>
      <c r="F4" s="93">
        <v>2</v>
      </c>
      <c r="G4" s="93">
        <v>1</v>
      </c>
      <c r="H4" s="467"/>
      <c r="I4" s="93">
        <v>1</v>
      </c>
      <c r="J4" s="93">
        <v>1</v>
      </c>
      <c r="K4" s="93">
        <v>1</v>
      </c>
      <c r="L4" s="467"/>
      <c r="M4" s="93">
        <v>0</v>
      </c>
      <c r="N4" s="93">
        <v>1</v>
      </c>
      <c r="O4" s="93">
        <v>1</v>
      </c>
      <c r="P4" s="93">
        <v>0</v>
      </c>
      <c r="Q4" s="93">
        <v>1</v>
      </c>
      <c r="R4" s="467"/>
      <c r="S4" s="93">
        <v>0</v>
      </c>
      <c r="T4" s="94">
        <v>1</v>
      </c>
      <c r="U4" s="95">
        <v>2</v>
      </c>
      <c r="V4" s="132">
        <v>1</v>
      </c>
      <c r="W4" s="470">
        <f>SUM(B4:V4)</f>
        <v>16</v>
      </c>
      <c r="X4" s="470"/>
      <c r="Y4" s="470"/>
      <c r="Z4" s="471">
        <f>W4*100/30</f>
        <v>53.333333333333336</v>
      </c>
      <c r="AA4" s="471"/>
      <c r="AB4" s="471"/>
      <c r="AD4" s="485"/>
      <c r="AE4" s="484">
        <v>30</v>
      </c>
      <c r="AF4" s="484"/>
      <c r="AG4" s="484"/>
      <c r="AH4" s="484">
        <v>19</v>
      </c>
      <c r="AI4" s="484"/>
      <c r="AJ4" s="484">
        <v>9</v>
      </c>
      <c r="AK4" s="484"/>
    </row>
    <row r="5" spans="1:37" ht="12.95" customHeight="1" x14ac:dyDescent="0.25">
      <c r="A5" s="96" t="s">
        <v>71</v>
      </c>
      <c r="B5" s="97">
        <v>0</v>
      </c>
      <c r="C5" s="98">
        <v>0</v>
      </c>
      <c r="D5" s="98">
        <v>0</v>
      </c>
      <c r="E5" s="98">
        <v>0</v>
      </c>
      <c r="F5" s="98">
        <v>0</v>
      </c>
      <c r="G5" s="98">
        <v>0</v>
      </c>
      <c r="H5" s="468"/>
      <c r="I5" s="98">
        <v>0</v>
      </c>
      <c r="J5" s="98">
        <v>0</v>
      </c>
      <c r="K5" s="98">
        <v>0</v>
      </c>
      <c r="L5" s="468"/>
      <c r="M5" s="98">
        <v>0</v>
      </c>
      <c r="N5" s="98">
        <v>0</v>
      </c>
      <c r="O5" s="98">
        <v>0</v>
      </c>
      <c r="P5" s="98">
        <v>0</v>
      </c>
      <c r="Q5" s="98">
        <v>0</v>
      </c>
      <c r="R5" s="468"/>
      <c r="S5" s="98">
        <v>0</v>
      </c>
      <c r="T5" s="99">
        <v>0</v>
      </c>
      <c r="U5" s="100">
        <v>0</v>
      </c>
      <c r="V5" s="131">
        <v>0</v>
      </c>
      <c r="W5" s="450">
        <f t="shared" ref="W5:W27" si="0">SUM(B5:V5)</f>
        <v>0</v>
      </c>
      <c r="X5" s="450"/>
      <c r="Y5" s="450"/>
      <c r="Z5" s="451">
        <f>W5*100/30</f>
        <v>0</v>
      </c>
      <c r="AA5" s="451"/>
      <c r="AB5" s="451"/>
      <c r="AD5" s="486" t="s">
        <v>336</v>
      </c>
      <c r="AE5" s="487"/>
      <c r="AF5" s="487"/>
      <c r="AG5" s="488"/>
      <c r="AH5" s="489">
        <f>100-(AH4*100/AE4)</f>
        <v>36.666666666666664</v>
      </c>
      <c r="AI5" s="489"/>
      <c r="AJ5" s="489">
        <f>100-(AJ4*100/AE4)</f>
        <v>70</v>
      </c>
      <c r="AK5" s="489"/>
    </row>
    <row r="6" spans="1:37" ht="12.95" customHeight="1" x14ac:dyDescent="0.25">
      <c r="A6" s="96" t="s">
        <v>72</v>
      </c>
      <c r="B6" s="97">
        <v>0</v>
      </c>
      <c r="C6" s="98">
        <v>0</v>
      </c>
      <c r="D6" s="98">
        <v>0</v>
      </c>
      <c r="E6" s="98">
        <v>0</v>
      </c>
      <c r="F6" s="98">
        <v>0</v>
      </c>
      <c r="G6" s="98">
        <v>0</v>
      </c>
      <c r="H6" s="468"/>
      <c r="I6" s="98">
        <v>0</v>
      </c>
      <c r="J6" s="98">
        <v>0</v>
      </c>
      <c r="K6" s="98">
        <v>0</v>
      </c>
      <c r="L6" s="468"/>
      <c r="M6" s="98">
        <v>0</v>
      </c>
      <c r="N6" s="98">
        <v>0</v>
      </c>
      <c r="O6" s="98">
        <v>0</v>
      </c>
      <c r="P6" s="98">
        <v>0</v>
      </c>
      <c r="Q6" s="98">
        <v>0</v>
      </c>
      <c r="R6" s="468"/>
      <c r="S6" s="98">
        <v>0</v>
      </c>
      <c r="T6" s="99">
        <v>0</v>
      </c>
      <c r="U6" s="100">
        <v>0</v>
      </c>
      <c r="V6" s="131">
        <v>0</v>
      </c>
      <c r="W6" s="450">
        <f t="shared" si="0"/>
        <v>0</v>
      </c>
      <c r="X6" s="450"/>
      <c r="Y6" s="450"/>
      <c r="Z6" s="451">
        <f t="shared" ref="Z6:Z26" si="1">W6*100/30</f>
        <v>0</v>
      </c>
      <c r="AA6" s="451"/>
      <c r="AB6" s="451"/>
    </row>
    <row r="7" spans="1:37" ht="12.95" customHeight="1" x14ac:dyDescent="0.25">
      <c r="A7" s="96" t="s">
        <v>73</v>
      </c>
      <c r="B7" s="97">
        <v>0</v>
      </c>
      <c r="C7" s="98">
        <v>0</v>
      </c>
      <c r="D7" s="98">
        <v>0</v>
      </c>
      <c r="E7" s="98">
        <v>0</v>
      </c>
      <c r="F7" s="98">
        <v>0</v>
      </c>
      <c r="G7" s="98">
        <v>0</v>
      </c>
      <c r="H7" s="468"/>
      <c r="I7" s="98">
        <v>0</v>
      </c>
      <c r="J7" s="98">
        <v>0</v>
      </c>
      <c r="K7" s="98">
        <v>0</v>
      </c>
      <c r="L7" s="468"/>
      <c r="M7" s="98">
        <v>0</v>
      </c>
      <c r="N7" s="98">
        <v>0</v>
      </c>
      <c r="O7" s="98">
        <v>0</v>
      </c>
      <c r="P7" s="98">
        <v>0</v>
      </c>
      <c r="Q7" s="98">
        <v>0</v>
      </c>
      <c r="R7" s="468"/>
      <c r="S7" s="98">
        <v>0</v>
      </c>
      <c r="T7" s="99">
        <v>0</v>
      </c>
      <c r="U7" s="100">
        <v>0</v>
      </c>
      <c r="V7" s="131">
        <v>0</v>
      </c>
      <c r="W7" s="450">
        <f t="shared" si="0"/>
        <v>0</v>
      </c>
      <c r="X7" s="450"/>
      <c r="Y7" s="450"/>
      <c r="Z7" s="451">
        <f t="shared" si="1"/>
        <v>0</v>
      </c>
      <c r="AA7" s="451"/>
      <c r="AB7" s="451"/>
    </row>
    <row r="8" spans="1:37" ht="12.95" customHeight="1" x14ac:dyDescent="0.25">
      <c r="A8" s="96" t="s">
        <v>74</v>
      </c>
      <c r="B8" s="97">
        <v>0</v>
      </c>
      <c r="C8" s="98">
        <v>0</v>
      </c>
      <c r="D8" s="98">
        <v>0</v>
      </c>
      <c r="E8" s="98">
        <v>0</v>
      </c>
      <c r="F8" s="98">
        <v>0</v>
      </c>
      <c r="G8" s="98">
        <v>0</v>
      </c>
      <c r="H8" s="468"/>
      <c r="I8" s="98">
        <v>1</v>
      </c>
      <c r="J8" s="98">
        <v>1</v>
      </c>
      <c r="K8" s="98">
        <v>0</v>
      </c>
      <c r="L8" s="468"/>
      <c r="M8" s="98">
        <v>0</v>
      </c>
      <c r="N8" s="98">
        <v>0</v>
      </c>
      <c r="O8" s="98">
        <v>0</v>
      </c>
      <c r="P8" s="98">
        <v>0</v>
      </c>
      <c r="Q8" s="98">
        <v>1</v>
      </c>
      <c r="R8" s="468"/>
      <c r="S8" s="98">
        <v>1</v>
      </c>
      <c r="T8" s="99">
        <v>1</v>
      </c>
      <c r="U8" s="100">
        <v>0</v>
      </c>
      <c r="V8" s="131">
        <v>0</v>
      </c>
      <c r="W8" s="450">
        <f t="shared" si="0"/>
        <v>5</v>
      </c>
      <c r="X8" s="450"/>
      <c r="Y8" s="450"/>
      <c r="Z8" s="451">
        <f t="shared" si="1"/>
        <v>16.666666666666668</v>
      </c>
      <c r="AA8" s="451"/>
      <c r="AB8" s="451"/>
    </row>
    <row r="9" spans="1:37" ht="12.95" customHeight="1" x14ac:dyDescent="0.25">
      <c r="A9" s="96" t="s">
        <v>75</v>
      </c>
      <c r="B9" s="97">
        <v>2</v>
      </c>
      <c r="C9" s="98">
        <v>0</v>
      </c>
      <c r="D9" s="98">
        <v>1</v>
      </c>
      <c r="E9" s="98">
        <v>1</v>
      </c>
      <c r="F9" s="98">
        <v>2</v>
      </c>
      <c r="G9" s="98">
        <v>1</v>
      </c>
      <c r="H9" s="468"/>
      <c r="I9" s="98">
        <v>1</v>
      </c>
      <c r="J9" s="98">
        <v>2</v>
      </c>
      <c r="K9" s="98">
        <v>2</v>
      </c>
      <c r="L9" s="468"/>
      <c r="M9" s="98">
        <v>1</v>
      </c>
      <c r="N9" s="98">
        <v>1</v>
      </c>
      <c r="O9" s="98">
        <v>2</v>
      </c>
      <c r="P9" s="98">
        <v>1</v>
      </c>
      <c r="Q9" s="98">
        <v>1</v>
      </c>
      <c r="R9" s="468"/>
      <c r="S9" s="98">
        <v>1</v>
      </c>
      <c r="T9" s="99">
        <v>1</v>
      </c>
      <c r="U9" s="100">
        <v>2</v>
      </c>
      <c r="V9" s="131">
        <v>2</v>
      </c>
      <c r="W9" s="450">
        <f t="shared" si="0"/>
        <v>24</v>
      </c>
      <c r="X9" s="450"/>
      <c r="Y9" s="450"/>
      <c r="Z9" s="451">
        <f t="shared" si="1"/>
        <v>80</v>
      </c>
      <c r="AA9" s="451"/>
      <c r="AB9" s="451"/>
    </row>
    <row r="10" spans="1:37" ht="12.95" customHeight="1" x14ac:dyDescent="0.25">
      <c r="A10" s="96" t="s">
        <v>76</v>
      </c>
      <c r="B10" s="97">
        <v>2</v>
      </c>
      <c r="C10" s="98">
        <v>1</v>
      </c>
      <c r="D10" s="98">
        <v>2</v>
      </c>
      <c r="E10" s="98">
        <v>1</v>
      </c>
      <c r="F10" s="98">
        <v>2</v>
      </c>
      <c r="G10" s="98">
        <v>1</v>
      </c>
      <c r="H10" s="468"/>
      <c r="I10" s="98">
        <v>2</v>
      </c>
      <c r="J10" s="98">
        <v>2</v>
      </c>
      <c r="K10" s="98">
        <v>3</v>
      </c>
      <c r="L10" s="468"/>
      <c r="M10" s="98">
        <v>1</v>
      </c>
      <c r="N10" s="98">
        <v>1</v>
      </c>
      <c r="O10" s="98">
        <v>2</v>
      </c>
      <c r="P10" s="98">
        <v>1</v>
      </c>
      <c r="Q10" s="98">
        <v>1</v>
      </c>
      <c r="R10" s="468"/>
      <c r="S10" s="98">
        <v>1</v>
      </c>
      <c r="T10" s="99">
        <v>1</v>
      </c>
      <c r="U10" s="100">
        <v>3</v>
      </c>
      <c r="V10" s="131">
        <v>2</v>
      </c>
      <c r="W10" s="450">
        <f t="shared" si="0"/>
        <v>29</v>
      </c>
      <c r="X10" s="450"/>
      <c r="Y10" s="450"/>
      <c r="Z10" s="451">
        <f t="shared" si="1"/>
        <v>96.666666666666671</v>
      </c>
      <c r="AA10" s="451"/>
      <c r="AB10" s="451"/>
    </row>
    <row r="11" spans="1:37" ht="12.95" customHeight="1" x14ac:dyDescent="0.25">
      <c r="A11" s="96" t="s">
        <v>77</v>
      </c>
      <c r="B11" s="97">
        <v>2</v>
      </c>
      <c r="C11" s="98">
        <v>1</v>
      </c>
      <c r="D11" s="98">
        <v>2</v>
      </c>
      <c r="E11" s="98">
        <v>1</v>
      </c>
      <c r="F11" s="98">
        <v>2</v>
      </c>
      <c r="G11" s="98">
        <v>1</v>
      </c>
      <c r="H11" s="468"/>
      <c r="I11" s="98">
        <v>2</v>
      </c>
      <c r="J11" s="98">
        <v>2</v>
      </c>
      <c r="K11" s="98">
        <v>3</v>
      </c>
      <c r="L11" s="468"/>
      <c r="M11" s="98">
        <v>1</v>
      </c>
      <c r="N11" s="98">
        <v>1</v>
      </c>
      <c r="O11" s="98">
        <v>2</v>
      </c>
      <c r="P11" s="98">
        <v>1</v>
      </c>
      <c r="Q11" s="98">
        <v>1</v>
      </c>
      <c r="R11" s="468"/>
      <c r="S11" s="98">
        <v>1</v>
      </c>
      <c r="T11" s="99">
        <v>1</v>
      </c>
      <c r="U11" s="100">
        <v>3</v>
      </c>
      <c r="V11" s="131">
        <v>2</v>
      </c>
      <c r="W11" s="450">
        <f t="shared" si="0"/>
        <v>29</v>
      </c>
      <c r="X11" s="450"/>
      <c r="Y11" s="450"/>
      <c r="Z11" s="451">
        <f t="shared" si="1"/>
        <v>96.666666666666671</v>
      </c>
      <c r="AA11" s="451"/>
      <c r="AB11" s="451"/>
    </row>
    <row r="12" spans="1:37" ht="12.95" customHeight="1" x14ac:dyDescent="0.25">
      <c r="A12" s="96" t="s">
        <v>78</v>
      </c>
      <c r="B12" s="97">
        <v>2</v>
      </c>
      <c r="C12" s="98">
        <v>1</v>
      </c>
      <c r="D12" s="98">
        <v>1</v>
      </c>
      <c r="E12" s="98">
        <v>1</v>
      </c>
      <c r="F12" s="98">
        <v>2</v>
      </c>
      <c r="G12" s="98">
        <v>1</v>
      </c>
      <c r="H12" s="468"/>
      <c r="I12" s="98">
        <v>2</v>
      </c>
      <c r="J12" s="98">
        <v>2</v>
      </c>
      <c r="K12" s="98">
        <v>3</v>
      </c>
      <c r="L12" s="468"/>
      <c r="M12" s="98">
        <v>1</v>
      </c>
      <c r="N12" s="98">
        <v>1</v>
      </c>
      <c r="O12" s="98">
        <v>2</v>
      </c>
      <c r="P12" s="98">
        <v>1</v>
      </c>
      <c r="Q12" s="98">
        <v>1</v>
      </c>
      <c r="R12" s="468"/>
      <c r="S12" s="98">
        <v>1</v>
      </c>
      <c r="T12" s="99">
        <v>1</v>
      </c>
      <c r="U12" s="100">
        <v>3</v>
      </c>
      <c r="V12" s="131">
        <v>2</v>
      </c>
      <c r="W12" s="450">
        <f t="shared" si="0"/>
        <v>28</v>
      </c>
      <c r="X12" s="450"/>
      <c r="Y12" s="450"/>
      <c r="Z12" s="451">
        <f t="shared" si="1"/>
        <v>93.333333333333329</v>
      </c>
      <c r="AA12" s="451"/>
      <c r="AB12" s="451"/>
    </row>
    <row r="13" spans="1:37" ht="12.95" customHeight="1" x14ac:dyDescent="0.25">
      <c r="A13" s="96" t="s">
        <v>79</v>
      </c>
      <c r="B13" s="97">
        <v>1</v>
      </c>
      <c r="C13" s="98">
        <v>1</v>
      </c>
      <c r="D13" s="98">
        <v>1</v>
      </c>
      <c r="E13" s="98">
        <v>1</v>
      </c>
      <c r="F13" s="98">
        <v>2</v>
      </c>
      <c r="G13" s="98">
        <v>1</v>
      </c>
      <c r="H13" s="468"/>
      <c r="I13" s="98">
        <v>2</v>
      </c>
      <c r="J13" s="98">
        <v>2</v>
      </c>
      <c r="K13" s="98">
        <v>2</v>
      </c>
      <c r="L13" s="468"/>
      <c r="M13" s="98">
        <v>1</v>
      </c>
      <c r="N13" s="98">
        <v>1</v>
      </c>
      <c r="O13" s="98">
        <v>2</v>
      </c>
      <c r="P13" s="98">
        <v>1</v>
      </c>
      <c r="Q13" s="98">
        <v>1</v>
      </c>
      <c r="R13" s="468"/>
      <c r="S13" s="98">
        <v>1</v>
      </c>
      <c r="T13" s="99">
        <v>1</v>
      </c>
      <c r="U13" s="100">
        <v>3</v>
      </c>
      <c r="V13" s="131">
        <v>2</v>
      </c>
      <c r="W13" s="450">
        <f t="shared" si="0"/>
        <v>26</v>
      </c>
      <c r="X13" s="450"/>
      <c r="Y13" s="450"/>
      <c r="Z13" s="451">
        <f t="shared" si="1"/>
        <v>86.666666666666671</v>
      </c>
      <c r="AA13" s="451"/>
      <c r="AB13" s="451"/>
    </row>
    <row r="14" spans="1:37" ht="12.95" customHeight="1" x14ac:dyDescent="0.25">
      <c r="A14" s="96" t="s">
        <v>289</v>
      </c>
      <c r="B14" s="97">
        <v>1</v>
      </c>
      <c r="C14" s="98">
        <v>1</v>
      </c>
      <c r="D14" s="98">
        <v>1</v>
      </c>
      <c r="E14" s="98">
        <v>1</v>
      </c>
      <c r="F14" s="98">
        <v>2</v>
      </c>
      <c r="G14" s="98">
        <v>1</v>
      </c>
      <c r="H14" s="468"/>
      <c r="I14" s="98">
        <v>2</v>
      </c>
      <c r="J14" s="98">
        <v>2</v>
      </c>
      <c r="K14" s="98">
        <v>2</v>
      </c>
      <c r="L14" s="468"/>
      <c r="M14" s="98">
        <v>1</v>
      </c>
      <c r="N14" s="98">
        <v>1</v>
      </c>
      <c r="O14" s="98">
        <v>1</v>
      </c>
      <c r="P14" s="98">
        <v>1</v>
      </c>
      <c r="Q14" s="98">
        <v>1</v>
      </c>
      <c r="R14" s="468"/>
      <c r="S14" s="98">
        <v>1</v>
      </c>
      <c r="T14" s="99">
        <v>1</v>
      </c>
      <c r="U14" s="100">
        <v>3</v>
      </c>
      <c r="V14" s="131">
        <v>2</v>
      </c>
      <c r="W14" s="450">
        <f t="shared" si="0"/>
        <v>25</v>
      </c>
      <c r="X14" s="450"/>
      <c r="Y14" s="450"/>
      <c r="Z14" s="451">
        <f t="shared" si="1"/>
        <v>83.333333333333329</v>
      </c>
      <c r="AA14" s="451"/>
      <c r="AB14" s="451"/>
    </row>
    <row r="15" spans="1:37" ht="12.95" customHeight="1" x14ac:dyDescent="0.25">
      <c r="A15" s="96" t="s">
        <v>290</v>
      </c>
      <c r="B15" s="97">
        <v>1</v>
      </c>
      <c r="C15" s="98">
        <v>1</v>
      </c>
      <c r="D15" s="98">
        <v>1</v>
      </c>
      <c r="E15" s="98">
        <v>1</v>
      </c>
      <c r="F15" s="98">
        <v>2</v>
      </c>
      <c r="G15" s="98">
        <v>1</v>
      </c>
      <c r="H15" s="468"/>
      <c r="I15" s="98">
        <v>2</v>
      </c>
      <c r="J15" s="98">
        <v>2</v>
      </c>
      <c r="K15" s="98">
        <v>2</v>
      </c>
      <c r="L15" s="468"/>
      <c r="M15" s="98">
        <v>1</v>
      </c>
      <c r="N15" s="98">
        <v>1</v>
      </c>
      <c r="O15" s="98">
        <v>1</v>
      </c>
      <c r="P15" s="98">
        <v>1</v>
      </c>
      <c r="Q15" s="98">
        <v>1</v>
      </c>
      <c r="R15" s="468"/>
      <c r="S15" s="98">
        <v>1</v>
      </c>
      <c r="T15" s="99">
        <v>1</v>
      </c>
      <c r="U15" s="100">
        <v>3</v>
      </c>
      <c r="V15" s="131">
        <v>2</v>
      </c>
      <c r="W15" s="450">
        <f t="shared" si="0"/>
        <v>25</v>
      </c>
      <c r="X15" s="450"/>
      <c r="Y15" s="450"/>
      <c r="Z15" s="451">
        <f t="shared" si="1"/>
        <v>83.333333333333329</v>
      </c>
      <c r="AA15" s="451"/>
      <c r="AB15" s="451"/>
    </row>
    <row r="16" spans="1:37" ht="12.95" customHeight="1" x14ac:dyDescent="0.25">
      <c r="A16" s="96" t="s">
        <v>291</v>
      </c>
      <c r="B16" s="97">
        <v>1</v>
      </c>
      <c r="C16" s="98">
        <v>1</v>
      </c>
      <c r="D16" s="98">
        <v>1</v>
      </c>
      <c r="E16" s="98">
        <v>1</v>
      </c>
      <c r="F16" s="98">
        <v>2</v>
      </c>
      <c r="G16" s="98">
        <v>1</v>
      </c>
      <c r="H16" s="468"/>
      <c r="I16" s="98">
        <v>2</v>
      </c>
      <c r="J16" s="98">
        <v>2</v>
      </c>
      <c r="K16" s="98">
        <v>2</v>
      </c>
      <c r="L16" s="468"/>
      <c r="M16" s="98">
        <v>1</v>
      </c>
      <c r="N16" s="98">
        <v>1</v>
      </c>
      <c r="O16" s="98">
        <v>1</v>
      </c>
      <c r="P16" s="98">
        <v>1</v>
      </c>
      <c r="Q16" s="98">
        <v>1</v>
      </c>
      <c r="R16" s="468"/>
      <c r="S16" s="98">
        <v>1</v>
      </c>
      <c r="T16" s="99">
        <v>1</v>
      </c>
      <c r="U16" s="100">
        <v>3</v>
      </c>
      <c r="V16" s="131">
        <v>2</v>
      </c>
      <c r="W16" s="450">
        <f t="shared" si="0"/>
        <v>25</v>
      </c>
      <c r="X16" s="450"/>
      <c r="Y16" s="450"/>
      <c r="Z16" s="451">
        <f t="shared" si="1"/>
        <v>83.333333333333329</v>
      </c>
      <c r="AA16" s="451"/>
      <c r="AB16" s="451"/>
    </row>
    <row r="17" spans="1:28" ht="12.95" customHeight="1" x14ac:dyDescent="0.25">
      <c r="A17" s="96" t="s">
        <v>292</v>
      </c>
      <c r="B17" s="97">
        <v>1</v>
      </c>
      <c r="C17" s="98">
        <v>1</v>
      </c>
      <c r="D17" s="98">
        <v>1</v>
      </c>
      <c r="E17" s="98">
        <v>1</v>
      </c>
      <c r="F17" s="98">
        <v>2</v>
      </c>
      <c r="G17" s="98">
        <v>1</v>
      </c>
      <c r="H17" s="468"/>
      <c r="I17" s="98">
        <v>2</v>
      </c>
      <c r="J17" s="98">
        <v>2</v>
      </c>
      <c r="K17" s="98">
        <v>2</v>
      </c>
      <c r="L17" s="468"/>
      <c r="M17" s="98">
        <v>1</v>
      </c>
      <c r="N17" s="98">
        <v>1</v>
      </c>
      <c r="O17" s="98">
        <v>1</v>
      </c>
      <c r="P17" s="98">
        <v>1</v>
      </c>
      <c r="Q17" s="98">
        <v>1</v>
      </c>
      <c r="R17" s="468"/>
      <c r="S17" s="98">
        <v>1</v>
      </c>
      <c r="T17" s="99">
        <v>1</v>
      </c>
      <c r="U17" s="100">
        <v>3</v>
      </c>
      <c r="V17" s="131">
        <v>2</v>
      </c>
      <c r="W17" s="450">
        <f t="shared" si="0"/>
        <v>25</v>
      </c>
      <c r="X17" s="450"/>
      <c r="Y17" s="450"/>
      <c r="Z17" s="451">
        <f t="shared" si="1"/>
        <v>83.333333333333329</v>
      </c>
      <c r="AA17" s="451"/>
      <c r="AB17" s="451"/>
    </row>
    <row r="18" spans="1:28" ht="12.95" customHeight="1" x14ac:dyDescent="0.25">
      <c r="A18" s="96" t="s">
        <v>293</v>
      </c>
      <c r="B18" s="97">
        <v>1</v>
      </c>
      <c r="C18" s="98">
        <v>1</v>
      </c>
      <c r="D18" s="98">
        <v>1</v>
      </c>
      <c r="E18" s="98">
        <v>1</v>
      </c>
      <c r="F18" s="98">
        <v>2</v>
      </c>
      <c r="G18" s="98">
        <v>1</v>
      </c>
      <c r="H18" s="468"/>
      <c r="I18" s="98">
        <v>2</v>
      </c>
      <c r="J18" s="98">
        <v>2</v>
      </c>
      <c r="K18" s="98">
        <v>2</v>
      </c>
      <c r="L18" s="468"/>
      <c r="M18" s="98">
        <v>1</v>
      </c>
      <c r="N18" s="98">
        <v>1</v>
      </c>
      <c r="O18" s="98">
        <v>1</v>
      </c>
      <c r="P18" s="98">
        <v>1</v>
      </c>
      <c r="Q18" s="98">
        <v>1</v>
      </c>
      <c r="R18" s="468"/>
      <c r="S18" s="98">
        <v>1</v>
      </c>
      <c r="T18" s="99">
        <v>1</v>
      </c>
      <c r="U18" s="100">
        <v>3</v>
      </c>
      <c r="V18" s="131">
        <v>2</v>
      </c>
      <c r="W18" s="450">
        <f t="shared" si="0"/>
        <v>25</v>
      </c>
      <c r="X18" s="450"/>
      <c r="Y18" s="450"/>
      <c r="Z18" s="451">
        <f t="shared" si="1"/>
        <v>83.333333333333329</v>
      </c>
      <c r="AA18" s="451"/>
      <c r="AB18" s="451"/>
    </row>
    <row r="19" spans="1:28" ht="12.95" customHeight="1" x14ac:dyDescent="0.25">
      <c r="A19" s="96" t="s">
        <v>294</v>
      </c>
      <c r="B19" s="97">
        <v>1</v>
      </c>
      <c r="C19" s="98">
        <v>1</v>
      </c>
      <c r="D19" s="98">
        <v>1</v>
      </c>
      <c r="E19" s="98">
        <v>1</v>
      </c>
      <c r="F19" s="98">
        <v>2</v>
      </c>
      <c r="G19" s="98">
        <v>1</v>
      </c>
      <c r="H19" s="468"/>
      <c r="I19" s="98">
        <v>2</v>
      </c>
      <c r="J19" s="98">
        <v>2</v>
      </c>
      <c r="K19" s="98">
        <v>2</v>
      </c>
      <c r="L19" s="468"/>
      <c r="M19" s="98">
        <v>1</v>
      </c>
      <c r="N19" s="98">
        <v>1</v>
      </c>
      <c r="O19" s="98">
        <v>1</v>
      </c>
      <c r="P19" s="98">
        <v>1</v>
      </c>
      <c r="Q19" s="98">
        <v>1</v>
      </c>
      <c r="R19" s="468"/>
      <c r="S19" s="98">
        <v>1</v>
      </c>
      <c r="T19" s="99">
        <v>1</v>
      </c>
      <c r="U19" s="100">
        <v>3</v>
      </c>
      <c r="V19" s="131">
        <v>2</v>
      </c>
      <c r="W19" s="450">
        <f t="shared" si="0"/>
        <v>25</v>
      </c>
      <c r="X19" s="450"/>
      <c r="Y19" s="450"/>
      <c r="Z19" s="451">
        <f t="shared" si="1"/>
        <v>83.333333333333329</v>
      </c>
      <c r="AA19" s="451"/>
      <c r="AB19" s="451"/>
    </row>
    <row r="20" spans="1:28" ht="12.95" customHeight="1" x14ac:dyDescent="0.25">
      <c r="A20" s="96" t="s">
        <v>295</v>
      </c>
      <c r="B20" s="97">
        <v>2</v>
      </c>
      <c r="C20" s="98">
        <v>1</v>
      </c>
      <c r="D20" s="98">
        <v>1</v>
      </c>
      <c r="E20" s="98">
        <v>1</v>
      </c>
      <c r="F20" s="98">
        <v>2</v>
      </c>
      <c r="G20" s="98">
        <v>1</v>
      </c>
      <c r="H20" s="468"/>
      <c r="I20" s="98">
        <v>2</v>
      </c>
      <c r="J20" s="98">
        <v>2</v>
      </c>
      <c r="K20" s="98">
        <v>3</v>
      </c>
      <c r="L20" s="468"/>
      <c r="M20" s="98">
        <v>1</v>
      </c>
      <c r="N20" s="98">
        <v>1</v>
      </c>
      <c r="O20" s="98">
        <v>2</v>
      </c>
      <c r="P20" s="98">
        <v>1</v>
      </c>
      <c r="Q20" s="98">
        <v>1</v>
      </c>
      <c r="R20" s="468"/>
      <c r="S20" s="98">
        <v>1</v>
      </c>
      <c r="T20" s="99">
        <v>1</v>
      </c>
      <c r="U20" s="100">
        <v>3</v>
      </c>
      <c r="V20" s="131">
        <v>2</v>
      </c>
      <c r="W20" s="450">
        <f t="shared" si="0"/>
        <v>28</v>
      </c>
      <c r="X20" s="450"/>
      <c r="Y20" s="450"/>
      <c r="Z20" s="451">
        <f t="shared" si="1"/>
        <v>93.333333333333329</v>
      </c>
      <c r="AA20" s="451"/>
      <c r="AB20" s="451"/>
    </row>
    <row r="21" spans="1:28" ht="12.95" customHeight="1" x14ac:dyDescent="0.25">
      <c r="A21" s="96" t="s">
        <v>296</v>
      </c>
      <c r="B21" s="97">
        <v>2</v>
      </c>
      <c r="C21" s="98">
        <v>1</v>
      </c>
      <c r="D21" s="98">
        <v>3</v>
      </c>
      <c r="E21" s="98">
        <v>1</v>
      </c>
      <c r="F21" s="98">
        <v>2</v>
      </c>
      <c r="G21" s="98">
        <v>1</v>
      </c>
      <c r="H21" s="468"/>
      <c r="I21" s="98">
        <v>2</v>
      </c>
      <c r="J21" s="98">
        <v>2</v>
      </c>
      <c r="K21" s="98">
        <v>3</v>
      </c>
      <c r="L21" s="468"/>
      <c r="M21" s="98">
        <v>1</v>
      </c>
      <c r="N21" s="98">
        <v>1</v>
      </c>
      <c r="O21" s="98">
        <v>2</v>
      </c>
      <c r="P21" s="98">
        <v>1</v>
      </c>
      <c r="Q21" s="98">
        <v>1</v>
      </c>
      <c r="R21" s="468"/>
      <c r="S21" s="98">
        <v>1</v>
      </c>
      <c r="T21" s="99">
        <v>1</v>
      </c>
      <c r="U21" s="100">
        <v>3</v>
      </c>
      <c r="V21" s="131">
        <v>2</v>
      </c>
      <c r="W21" s="450">
        <f t="shared" si="0"/>
        <v>30</v>
      </c>
      <c r="X21" s="450"/>
      <c r="Y21" s="450"/>
      <c r="Z21" s="451">
        <f t="shared" si="1"/>
        <v>100</v>
      </c>
      <c r="AA21" s="451"/>
      <c r="AB21" s="451"/>
    </row>
    <row r="22" spans="1:28" ht="12.95" customHeight="1" x14ac:dyDescent="0.25">
      <c r="A22" s="96" t="s">
        <v>297</v>
      </c>
      <c r="B22" s="97">
        <v>2</v>
      </c>
      <c r="C22" s="98">
        <v>1</v>
      </c>
      <c r="D22" s="98">
        <v>3</v>
      </c>
      <c r="E22" s="98">
        <v>1</v>
      </c>
      <c r="F22" s="98">
        <v>2</v>
      </c>
      <c r="G22" s="98">
        <v>1</v>
      </c>
      <c r="H22" s="468"/>
      <c r="I22" s="98">
        <v>2</v>
      </c>
      <c r="J22" s="98">
        <v>2</v>
      </c>
      <c r="K22" s="98">
        <v>3</v>
      </c>
      <c r="L22" s="468"/>
      <c r="M22" s="98">
        <v>1</v>
      </c>
      <c r="N22" s="98">
        <v>1</v>
      </c>
      <c r="O22" s="98">
        <v>2</v>
      </c>
      <c r="P22" s="98">
        <v>1</v>
      </c>
      <c r="Q22" s="98">
        <v>1</v>
      </c>
      <c r="R22" s="468"/>
      <c r="S22" s="98">
        <v>1</v>
      </c>
      <c r="T22" s="99">
        <v>1</v>
      </c>
      <c r="U22" s="100">
        <v>3</v>
      </c>
      <c r="V22" s="131">
        <v>2</v>
      </c>
      <c r="W22" s="450">
        <f>SUM(B22:V22)</f>
        <v>30</v>
      </c>
      <c r="X22" s="450"/>
      <c r="Y22" s="450"/>
      <c r="Z22" s="451">
        <f t="shared" si="1"/>
        <v>100</v>
      </c>
      <c r="AA22" s="451"/>
      <c r="AB22" s="451"/>
    </row>
    <row r="23" spans="1:28" ht="12.95" customHeight="1" x14ac:dyDescent="0.25">
      <c r="A23" s="96" t="s">
        <v>298</v>
      </c>
      <c r="B23" s="97">
        <v>2</v>
      </c>
      <c r="C23" s="98">
        <v>1</v>
      </c>
      <c r="D23" s="98">
        <v>2</v>
      </c>
      <c r="E23" s="98">
        <v>1</v>
      </c>
      <c r="F23" s="98">
        <v>2</v>
      </c>
      <c r="G23" s="98">
        <v>1</v>
      </c>
      <c r="H23" s="468"/>
      <c r="I23" s="98">
        <v>2</v>
      </c>
      <c r="J23" s="98">
        <v>2</v>
      </c>
      <c r="K23" s="98">
        <v>2</v>
      </c>
      <c r="L23" s="468"/>
      <c r="M23" s="98">
        <v>1</v>
      </c>
      <c r="N23" s="98">
        <v>1</v>
      </c>
      <c r="O23" s="98">
        <v>2</v>
      </c>
      <c r="P23" s="98">
        <v>1</v>
      </c>
      <c r="Q23" s="98">
        <v>1</v>
      </c>
      <c r="R23" s="468"/>
      <c r="S23" s="98">
        <v>1</v>
      </c>
      <c r="T23" s="99">
        <v>1</v>
      </c>
      <c r="U23" s="100">
        <v>3</v>
      </c>
      <c r="V23" s="131">
        <v>2</v>
      </c>
      <c r="W23" s="450">
        <f t="shared" si="0"/>
        <v>28</v>
      </c>
      <c r="X23" s="450"/>
      <c r="Y23" s="450"/>
      <c r="Z23" s="451">
        <f t="shared" si="1"/>
        <v>93.333333333333329</v>
      </c>
      <c r="AA23" s="451"/>
      <c r="AB23" s="451"/>
    </row>
    <row r="24" spans="1:28" ht="12.95" customHeight="1" x14ac:dyDescent="0.25">
      <c r="A24" s="96" t="s">
        <v>299</v>
      </c>
      <c r="B24" s="97">
        <v>1</v>
      </c>
      <c r="C24" s="98">
        <v>1</v>
      </c>
      <c r="D24" s="98">
        <v>1</v>
      </c>
      <c r="E24" s="98">
        <v>1</v>
      </c>
      <c r="F24" s="98">
        <v>2</v>
      </c>
      <c r="G24" s="98">
        <v>1</v>
      </c>
      <c r="H24" s="468"/>
      <c r="I24" s="98">
        <v>2</v>
      </c>
      <c r="J24" s="98">
        <v>2</v>
      </c>
      <c r="K24" s="98">
        <v>2</v>
      </c>
      <c r="L24" s="468"/>
      <c r="M24" s="98">
        <v>1</v>
      </c>
      <c r="N24" s="98">
        <v>1</v>
      </c>
      <c r="O24" s="98">
        <v>2</v>
      </c>
      <c r="P24" s="98">
        <v>1</v>
      </c>
      <c r="Q24" s="98">
        <v>1</v>
      </c>
      <c r="R24" s="468"/>
      <c r="S24" s="98">
        <v>1</v>
      </c>
      <c r="T24" s="99">
        <v>1</v>
      </c>
      <c r="U24" s="100">
        <v>3</v>
      </c>
      <c r="V24" s="131">
        <v>1</v>
      </c>
      <c r="W24" s="450">
        <f t="shared" si="0"/>
        <v>25</v>
      </c>
      <c r="X24" s="450"/>
      <c r="Y24" s="450"/>
      <c r="Z24" s="451">
        <f t="shared" si="1"/>
        <v>83.333333333333329</v>
      </c>
      <c r="AA24" s="451"/>
      <c r="AB24" s="451"/>
    </row>
    <row r="25" spans="1:28" ht="12.95" customHeight="1" x14ac:dyDescent="0.25">
      <c r="A25" s="96" t="s">
        <v>300</v>
      </c>
      <c r="B25" s="97">
        <v>1</v>
      </c>
      <c r="C25" s="98">
        <v>1</v>
      </c>
      <c r="D25" s="98">
        <v>1</v>
      </c>
      <c r="E25" s="98">
        <v>1</v>
      </c>
      <c r="F25" s="98">
        <v>2</v>
      </c>
      <c r="G25" s="98">
        <v>1</v>
      </c>
      <c r="H25" s="468"/>
      <c r="I25" s="98">
        <v>1</v>
      </c>
      <c r="J25" s="98">
        <v>1</v>
      </c>
      <c r="K25" s="98">
        <v>2</v>
      </c>
      <c r="L25" s="468"/>
      <c r="M25" s="98">
        <v>1</v>
      </c>
      <c r="N25" s="98">
        <v>1</v>
      </c>
      <c r="O25" s="98">
        <v>2</v>
      </c>
      <c r="P25" s="98">
        <v>1</v>
      </c>
      <c r="Q25" s="98">
        <v>1</v>
      </c>
      <c r="R25" s="468"/>
      <c r="S25" s="98">
        <v>1</v>
      </c>
      <c r="T25" s="99">
        <v>1</v>
      </c>
      <c r="U25" s="100">
        <v>3</v>
      </c>
      <c r="V25" s="131">
        <v>1</v>
      </c>
      <c r="W25" s="450">
        <f t="shared" si="0"/>
        <v>23</v>
      </c>
      <c r="X25" s="450"/>
      <c r="Y25" s="450"/>
      <c r="Z25" s="451">
        <f t="shared" si="1"/>
        <v>76.666666666666671</v>
      </c>
      <c r="AA25" s="451"/>
      <c r="AB25" s="451"/>
    </row>
    <row r="26" spans="1:28" ht="12.95" customHeight="1" x14ac:dyDescent="0.25">
      <c r="A26" s="96" t="s">
        <v>301</v>
      </c>
      <c r="B26" s="97">
        <v>1</v>
      </c>
      <c r="C26" s="98">
        <v>1</v>
      </c>
      <c r="D26" s="98">
        <v>1</v>
      </c>
      <c r="E26" s="98">
        <v>1</v>
      </c>
      <c r="F26" s="98">
        <v>2</v>
      </c>
      <c r="G26" s="98">
        <v>1</v>
      </c>
      <c r="H26" s="468"/>
      <c r="I26" s="98">
        <v>1</v>
      </c>
      <c r="J26" s="98">
        <v>1</v>
      </c>
      <c r="K26" s="98">
        <v>2</v>
      </c>
      <c r="L26" s="468"/>
      <c r="M26" s="98">
        <v>1</v>
      </c>
      <c r="N26" s="98">
        <v>1</v>
      </c>
      <c r="O26" s="98">
        <v>1</v>
      </c>
      <c r="P26" s="98">
        <v>1</v>
      </c>
      <c r="Q26" s="98">
        <v>1</v>
      </c>
      <c r="R26" s="468"/>
      <c r="S26" s="98">
        <v>1</v>
      </c>
      <c r="T26" s="99">
        <v>1</v>
      </c>
      <c r="U26" s="100">
        <v>3</v>
      </c>
      <c r="V26" s="131">
        <v>1</v>
      </c>
      <c r="W26" s="450">
        <f t="shared" si="0"/>
        <v>22</v>
      </c>
      <c r="X26" s="450"/>
      <c r="Y26" s="450"/>
      <c r="Z26" s="451">
        <f t="shared" si="1"/>
        <v>73.333333333333329</v>
      </c>
      <c r="AA26" s="451"/>
      <c r="AB26" s="451"/>
    </row>
    <row r="27" spans="1:28" ht="12.95" customHeight="1" x14ac:dyDescent="0.25">
      <c r="A27" s="101" t="s">
        <v>302</v>
      </c>
      <c r="B27" s="102">
        <v>1</v>
      </c>
      <c r="C27" s="103">
        <v>1</v>
      </c>
      <c r="D27" s="103">
        <v>1</v>
      </c>
      <c r="E27" s="103">
        <v>1</v>
      </c>
      <c r="F27" s="103">
        <v>2</v>
      </c>
      <c r="G27" s="103">
        <v>0</v>
      </c>
      <c r="H27" s="469"/>
      <c r="I27" s="103">
        <v>1</v>
      </c>
      <c r="J27" s="103">
        <v>1</v>
      </c>
      <c r="K27" s="103">
        <v>2</v>
      </c>
      <c r="L27" s="469"/>
      <c r="M27" s="103">
        <v>0</v>
      </c>
      <c r="N27" s="103">
        <v>1</v>
      </c>
      <c r="O27" s="103">
        <v>1</v>
      </c>
      <c r="P27" s="103">
        <v>1</v>
      </c>
      <c r="Q27" s="103">
        <v>1</v>
      </c>
      <c r="R27" s="469"/>
      <c r="S27" s="103">
        <v>1</v>
      </c>
      <c r="T27" s="104">
        <v>1</v>
      </c>
      <c r="U27" s="105">
        <v>2</v>
      </c>
      <c r="V27" s="133">
        <v>1</v>
      </c>
      <c r="W27" s="426">
        <f t="shared" si="0"/>
        <v>19</v>
      </c>
      <c r="X27" s="426"/>
      <c r="Y27" s="426"/>
      <c r="Z27" s="427">
        <f>W27*100/30</f>
        <v>63.333333333333336</v>
      </c>
      <c r="AA27" s="427"/>
      <c r="AB27" s="427"/>
    </row>
    <row r="28" spans="1:28" ht="13.5" customHeight="1" x14ac:dyDescent="0.25">
      <c r="A28" s="7"/>
      <c r="W28" s="428"/>
      <c r="X28" s="428"/>
      <c r="Y28" s="428"/>
    </row>
    <row r="29" spans="1:28" ht="12.95" customHeight="1" x14ac:dyDescent="0.25">
      <c r="A29" s="429" t="s">
        <v>303</v>
      </c>
      <c r="B29" s="430"/>
      <c r="C29" s="430"/>
      <c r="D29" s="430"/>
      <c r="E29" s="430"/>
      <c r="F29" s="430"/>
      <c r="G29" s="430"/>
      <c r="H29" s="430"/>
      <c r="I29" s="430"/>
      <c r="J29" s="430"/>
      <c r="K29" s="433" t="s">
        <v>304</v>
      </c>
      <c r="L29" s="435">
        <f>SUM(Z4:Z27)/100</f>
        <v>17.066666666666666</v>
      </c>
      <c r="M29" s="436"/>
      <c r="O29" s="439" t="s">
        <v>305</v>
      </c>
      <c r="P29" s="440"/>
      <c r="Q29" s="440"/>
      <c r="R29" s="440"/>
      <c r="S29" s="440"/>
      <c r="T29" s="440"/>
      <c r="U29" s="440"/>
      <c r="V29" s="440"/>
      <c r="W29" s="440"/>
      <c r="X29" s="443">
        <f>((100-AH5)+(100-AJ5)-100)</f>
        <v>-6.6666666666666572</v>
      </c>
      <c r="Y29" s="444"/>
      <c r="Z29" s="446" t="s">
        <v>306</v>
      </c>
      <c r="AA29" s="446"/>
      <c r="AB29" s="447"/>
    </row>
    <row r="30" spans="1:28" ht="12.95" customHeight="1" x14ac:dyDescent="0.25">
      <c r="A30" s="431"/>
      <c r="B30" s="432"/>
      <c r="C30" s="432"/>
      <c r="D30" s="432"/>
      <c r="E30" s="432"/>
      <c r="F30" s="432"/>
      <c r="G30" s="432"/>
      <c r="H30" s="432"/>
      <c r="I30" s="432"/>
      <c r="J30" s="432"/>
      <c r="K30" s="434"/>
      <c r="L30" s="437"/>
      <c r="M30" s="438"/>
      <c r="O30" s="441"/>
      <c r="P30" s="442"/>
      <c r="Q30" s="442"/>
      <c r="R30" s="442"/>
      <c r="S30" s="442"/>
      <c r="T30" s="442"/>
      <c r="U30" s="442"/>
      <c r="V30" s="442"/>
      <c r="W30" s="442"/>
      <c r="X30" s="445"/>
      <c r="Y30" s="445"/>
      <c r="Z30" s="448">
        <v>0</v>
      </c>
      <c r="AA30" s="448"/>
      <c r="AB30" s="449"/>
    </row>
    <row r="31" spans="1:28" ht="12.95" customHeight="1" x14ac:dyDescent="0.25">
      <c r="A31" s="416" t="s">
        <v>307</v>
      </c>
      <c r="B31" s="417"/>
      <c r="C31" s="417"/>
      <c r="D31" s="417"/>
      <c r="E31" s="417"/>
      <c r="F31" s="417"/>
      <c r="G31" s="417"/>
      <c r="H31" s="417"/>
      <c r="I31" s="417"/>
      <c r="J31" s="417"/>
      <c r="K31" s="108" t="s">
        <v>308</v>
      </c>
      <c r="L31" s="418">
        <v>7.3333000000000004</v>
      </c>
      <c r="M31" s="419"/>
      <c r="O31" s="420" t="s">
        <v>309</v>
      </c>
      <c r="P31" s="421"/>
      <c r="Q31" s="421"/>
      <c r="R31" s="421"/>
      <c r="S31" s="421"/>
      <c r="T31" s="421"/>
      <c r="U31" s="421"/>
      <c r="V31" s="421"/>
      <c r="W31" s="421"/>
      <c r="X31" s="422">
        <f>(12/365)*0.5*100*2</f>
        <v>3.2876712328767121</v>
      </c>
      <c r="Y31" s="422"/>
      <c r="Z31" s="422"/>
      <c r="AA31" s="422"/>
      <c r="AB31" s="423"/>
    </row>
    <row r="32" spans="1:28" ht="12.95" customHeight="1" x14ac:dyDescent="0.25">
      <c r="A32" s="106" t="s">
        <v>310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9" t="s">
        <v>311</v>
      </c>
      <c r="L32" s="408">
        <f>L29/L31</f>
        <v>2.3272833058332081</v>
      </c>
      <c r="M32" s="409"/>
      <c r="O32" s="420" t="s">
        <v>312</v>
      </c>
      <c r="P32" s="421"/>
      <c r="Q32" s="421"/>
      <c r="R32" s="421"/>
      <c r="S32" s="421"/>
      <c r="T32" s="421"/>
      <c r="U32" s="421"/>
      <c r="V32" s="421"/>
      <c r="W32" s="421"/>
      <c r="X32" s="422">
        <f>(1/12)/(1-(1/12))*100</f>
        <v>9.0909090909090917</v>
      </c>
      <c r="Y32" s="422"/>
      <c r="Z32" s="422"/>
      <c r="AA32" s="422"/>
      <c r="AB32" s="423"/>
    </row>
    <row r="33" spans="1:30" ht="12.95" customHeight="1" x14ac:dyDescent="0.25">
      <c r="A33" s="106" t="s">
        <v>313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8" t="s">
        <v>314</v>
      </c>
      <c r="L33" s="424">
        <f>L32-2</f>
        <v>0.32728330583320808</v>
      </c>
      <c r="M33" s="425"/>
      <c r="O33" s="420" t="s">
        <v>315</v>
      </c>
      <c r="P33" s="421"/>
      <c r="Q33" s="421"/>
      <c r="R33" s="421"/>
      <c r="S33" s="421"/>
      <c r="T33" s="421"/>
      <c r="U33" s="421"/>
      <c r="V33" s="421"/>
      <c r="W33" s="421"/>
      <c r="X33" s="422">
        <f>(15/365)*0.12*100</f>
        <v>0.49315068493150682</v>
      </c>
      <c r="Y33" s="422"/>
      <c r="Z33" s="422"/>
      <c r="AA33" s="422"/>
      <c r="AB33" s="423"/>
    </row>
    <row r="34" spans="1:30" ht="12.95" customHeight="1" x14ac:dyDescent="0.25">
      <c r="A34" s="106" t="s">
        <v>316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8" t="s">
        <v>317</v>
      </c>
      <c r="L34" s="408">
        <f>L32-L33</f>
        <v>2</v>
      </c>
      <c r="M34" s="409"/>
      <c r="O34" s="410" t="s">
        <v>318</v>
      </c>
      <c r="P34" s="411"/>
      <c r="Q34" s="411"/>
      <c r="R34" s="411"/>
      <c r="S34" s="411"/>
      <c r="T34" s="411"/>
      <c r="U34" s="411"/>
      <c r="V34" s="411"/>
      <c r="W34" s="411"/>
      <c r="X34" s="412">
        <f>(5/365)*100</f>
        <v>1.3698630136986301</v>
      </c>
      <c r="Y34" s="412"/>
      <c r="Z34" s="412"/>
      <c r="AA34" s="412"/>
      <c r="AB34" s="413"/>
    </row>
    <row r="35" spans="1:30" ht="12.95" customHeight="1" x14ac:dyDescent="0.25">
      <c r="A35" s="106" t="s">
        <v>319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8" t="s">
        <v>320</v>
      </c>
      <c r="L35" s="408">
        <f>(L34+(L33*1.5)*(1+(52/(365-52))))</f>
        <v>2.5724843768168735</v>
      </c>
      <c r="M35" s="40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0" ht="12.95" customHeight="1" x14ac:dyDescent="0.25">
      <c r="A36" s="106" t="s">
        <v>321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8" t="s">
        <v>322</v>
      </c>
      <c r="L36" s="408">
        <f>Z30+X31+X32+X33+X34</f>
        <v>14.241594022415942</v>
      </c>
      <c r="M36" s="40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0" ht="12.95" customHeight="1" x14ac:dyDescent="0.25">
      <c r="A37" s="106" t="s">
        <v>323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8" t="s">
        <v>324</v>
      </c>
      <c r="L37" s="408">
        <f>L35*L36/100</f>
        <v>0.36636278123633587</v>
      </c>
      <c r="M37" s="40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0" ht="12.95" customHeight="1" x14ac:dyDescent="0.25">
      <c r="A38" s="110" t="s">
        <v>325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2"/>
      <c r="L38" s="414">
        <f>L35+L37</f>
        <v>2.9388471580532092</v>
      </c>
      <c r="M38" s="415"/>
    </row>
    <row r="39" spans="1:30" ht="13.5" customHeight="1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1"/>
      <c r="L39" s="42"/>
      <c r="M39" s="43"/>
    </row>
    <row r="40" spans="1:30" s="40" customFormat="1" ht="18.75" x14ac:dyDescent="0.3">
      <c r="A40" s="273" t="s">
        <v>110</v>
      </c>
      <c r="B40" s="274"/>
      <c r="C40" s="274"/>
      <c r="D40" s="274"/>
      <c r="E40" s="274"/>
      <c r="F40" s="275"/>
    </row>
    <row r="41" spans="1:30" x14ac:dyDescent="0.25">
      <c r="E41" s="462" t="s">
        <v>239</v>
      </c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62"/>
      <c r="R41" s="462"/>
      <c r="S41" s="462"/>
      <c r="T41" s="462"/>
      <c r="U41" s="462"/>
      <c r="V41" s="462"/>
      <c r="W41" s="462"/>
      <c r="X41" s="462"/>
      <c r="Y41" s="462"/>
      <c r="Z41" s="462"/>
      <c r="AA41" s="39"/>
      <c r="AB41" s="39"/>
      <c r="AC41" s="39"/>
      <c r="AD41" s="39"/>
    </row>
    <row r="42" spans="1:30" ht="11.1" customHeight="1" x14ac:dyDescent="0.25">
      <c r="E42" s="1"/>
      <c r="F42" s="452" t="s">
        <v>326</v>
      </c>
      <c r="G42" s="452"/>
      <c r="H42" s="452"/>
      <c r="I42" s="452"/>
      <c r="J42" s="452"/>
      <c r="K42" s="452"/>
      <c r="L42" s="452"/>
      <c r="M42" s="452"/>
      <c r="N42" s="452"/>
      <c r="O42" s="452" t="s">
        <v>327</v>
      </c>
      <c r="P42" s="452"/>
      <c r="Q42" s="452"/>
      <c r="R42" s="452"/>
      <c r="S42" s="452"/>
      <c r="T42" s="452"/>
      <c r="U42" s="452"/>
      <c r="V42" s="452"/>
      <c r="W42" s="453" t="s">
        <v>264</v>
      </c>
      <c r="X42" s="453"/>
      <c r="Y42" s="456" t="s">
        <v>252</v>
      </c>
      <c r="Z42" s="456"/>
      <c r="AA42" s="113"/>
      <c r="AB42" s="113"/>
      <c r="AC42" s="114"/>
      <c r="AD42" s="114"/>
    </row>
    <row r="43" spans="1:30" ht="11.1" customHeight="1" x14ac:dyDescent="0.25">
      <c r="E43" s="1"/>
      <c r="F43" s="459" t="s">
        <v>328</v>
      </c>
      <c r="G43" s="459"/>
      <c r="H43" s="459"/>
      <c r="I43" s="459"/>
      <c r="J43" s="459"/>
      <c r="K43" s="459"/>
      <c r="L43" s="459"/>
      <c r="M43" s="459"/>
      <c r="N43" s="459"/>
      <c r="O43" s="459" t="s">
        <v>329</v>
      </c>
      <c r="P43" s="459"/>
      <c r="Q43" s="459"/>
      <c r="R43" s="459"/>
      <c r="S43" s="459"/>
      <c r="T43" s="459"/>
      <c r="U43" s="459"/>
      <c r="V43" s="459"/>
      <c r="W43" s="454"/>
      <c r="X43" s="454"/>
      <c r="Y43" s="457"/>
      <c r="Z43" s="457"/>
      <c r="AA43" s="113"/>
      <c r="AB43" s="113"/>
      <c r="AC43" s="114"/>
      <c r="AD43" s="114"/>
    </row>
    <row r="44" spans="1:30" ht="21.95" customHeight="1" x14ac:dyDescent="0.25">
      <c r="E44" s="1"/>
      <c r="F44" s="460" t="s">
        <v>330</v>
      </c>
      <c r="G44" s="460"/>
      <c r="H44" s="460"/>
      <c r="I44" s="460"/>
      <c r="J44" s="460"/>
      <c r="K44" s="460"/>
      <c r="L44" s="460"/>
      <c r="M44" s="460"/>
      <c r="N44" s="460"/>
      <c r="O44" s="461" t="s">
        <v>331</v>
      </c>
      <c r="P44" s="461"/>
      <c r="Q44" s="461"/>
      <c r="R44" s="461"/>
      <c r="S44" s="461"/>
      <c r="T44" s="461"/>
      <c r="U44" s="461"/>
      <c r="V44" s="461"/>
      <c r="W44" s="455"/>
      <c r="X44" s="455"/>
      <c r="Y44" s="458"/>
      <c r="Z44" s="458"/>
      <c r="AA44" s="115"/>
      <c r="AB44" s="115"/>
      <c r="AC44" s="114"/>
      <c r="AD44" s="114"/>
    </row>
    <row r="45" spans="1:30" ht="11.1" customHeight="1" x14ac:dyDescent="0.25">
      <c r="E45" s="134" t="s">
        <v>70</v>
      </c>
      <c r="F45" s="473">
        <v>0</v>
      </c>
      <c r="G45" s="473"/>
      <c r="H45" s="473"/>
      <c r="I45" s="473"/>
      <c r="J45" s="473"/>
      <c r="K45" s="473"/>
      <c r="L45" s="473"/>
      <c r="M45" s="473"/>
      <c r="N45" s="473"/>
      <c r="O45" s="473">
        <v>0</v>
      </c>
      <c r="P45" s="473"/>
      <c r="Q45" s="473"/>
      <c r="R45" s="473"/>
      <c r="S45" s="473"/>
      <c r="T45" s="473"/>
      <c r="U45" s="473"/>
      <c r="V45" s="473"/>
      <c r="W45" s="473">
        <f>SUM(F45:V45)</f>
        <v>0</v>
      </c>
      <c r="X45" s="473"/>
      <c r="Y45" s="471">
        <f>W45*100/2</f>
        <v>0</v>
      </c>
      <c r="Z45" s="471"/>
      <c r="AA45" s="113"/>
      <c r="AB45" s="113"/>
      <c r="AC45" s="113"/>
      <c r="AD45" s="116"/>
    </row>
    <row r="46" spans="1:30" ht="11.1" customHeight="1" x14ac:dyDescent="0.25">
      <c r="E46" s="135" t="s">
        <v>71</v>
      </c>
      <c r="F46" s="472">
        <v>0</v>
      </c>
      <c r="G46" s="472"/>
      <c r="H46" s="472"/>
      <c r="I46" s="472"/>
      <c r="J46" s="472"/>
      <c r="K46" s="472"/>
      <c r="L46" s="472"/>
      <c r="M46" s="472"/>
      <c r="N46" s="472"/>
      <c r="O46" s="472">
        <v>0</v>
      </c>
      <c r="P46" s="472"/>
      <c r="Q46" s="472"/>
      <c r="R46" s="472"/>
      <c r="S46" s="472"/>
      <c r="T46" s="472"/>
      <c r="U46" s="472"/>
      <c r="V46" s="472"/>
      <c r="W46" s="472">
        <f t="shared" ref="W46:W68" si="2">SUM(F46:V46)</f>
        <v>0</v>
      </c>
      <c r="X46" s="472"/>
      <c r="Y46" s="451">
        <f>W46*100/2</f>
        <v>0</v>
      </c>
      <c r="Z46" s="451"/>
      <c r="AA46" s="113"/>
      <c r="AB46" s="113"/>
      <c r="AC46" s="113"/>
      <c r="AD46" s="116"/>
    </row>
    <row r="47" spans="1:30" ht="11.1" customHeight="1" x14ac:dyDescent="0.25">
      <c r="E47" s="135" t="s">
        <v>72</v>
      </c>
      <c r="F47" s="472">
        <v>0</v>
      </c>
      <c r="G47" s="472"/>
      <c r="H47" s="472"/>
      <c r="I47" s="472"/>
      <c r="J47" s="472"/>
      <c r="K47" s="472"/>
      <c r="L47" s="472"/>
      <c r="M47" s="472"/>
      <c r="N47" s="472"/>
      <c r="O47" s="472">
        <v>0</v>
      </c>
      <c r="P47" s="472"/>
      <c r="Q47" s="472"/>
      <c r="R47" s="472"/>
      <c r="S47" s="472"/>
      <c r="T47" s="472"/>
      <c r="U47" s="472"/>
      <c r="V47" s="472"/>
      <c r="W47" s="472">
        <f t="shared" si="2"/>
        <v>0</v>
      </c>
      <c r="X47" s="472"/>
      <c r="Y47" s="451">
        <f t="shared" ref="Y47:Y67" si="3">W47*100/2</f>
        <v>0</v>
      </c>
      <c r="Z47" s="451"/>
      <c r="AA47" s="113"/>
      <c r="AB47" s="113"/>
      <c r="AC47" s="113"/>
      <c r="AD47" s="116"/>
    </row>
    <row r="48" spans="1:30" ht="11.1" customHeight="1" x14ac:dyDescent="0.25">
      <c r="E48" s="135" t="s">
        <v>73</v>
      </c>
      <c r="F48" s="472">
        <v>0</v>
      </c>
      <c r="G48" s="472"/>
      <c r="H48" s="472"/>
      <c r="I48" s="472"/>
      <c r="J48" s="472"/>
      <c r="K48" s="472"/>
      <c r="L48" s="472"/>
      <c r="M48" s="472"/>
      <c r="N48" s="472"/>
      <c r="O48" s="472">
        <v>0</v>
      </c>
      <c r="P48" s="472"/>
      <c r="Q48" s="472"/>
      <c r="R48" s="472"/>
      <c r="S48" s="472"/>
      <c r="T48" s="472"/>
      <c r="U48" s="472"/>
      <c r="V48" s="472"/>
      <c r="W48" s="472">
        <f t="shared" si="2"/>
        <v>0</v>
      </c>
      <c r="X48" s="472"/>
      <c r="Y48" s="451">
        <f t="shared" si="3"/>
        <v>0</v>
      </c>
      <c r="Z48" s="451"/>
      <c r="AA48" s="113"/>
      <c r="AB48" s="113"/>
      <c r="AC48" s="113"/>
      <c r="AD48" s="116"/>
    </row>
    <row r="49" spans="5:30" ht="11.1" customHeight="1" x14ac:dyDescent="0.25">
      <c r="E49" s="135" t="s">
        <v>74</v>
      </c>
      <c r="F49" s="472">
        <v>0</v>
      </c>
      <c r="G49" s="472"/>
      <c r="H49" s="472"/>
      <c r="I49" s="472"/>
      <c r="J49" s="472"/>
      <c r="K49" s="472"/>
      <c r="L49" s="472"/>
      <c r="M49" s="472"/>
      <c r="N49" s="472"/>
      <c r="O49" s="472">
        <v>0</v>
      </c>
      <c r="P49" s="472"/>
      <c r="Q49" s="472"/>
      <c r="R49" s="472"/>
      <c r="S49" s="472"/>
      <c r="T49" s="472"/>
      <c r="U49" s="472"/>
      <c r="V49" s="472"/>
      <c r="W49" s="472">
        <f t="shared" si="2"/>
        <v>0</v>
      </c>
      <c r="X49" s="472"/>
      <c r="Y49" s="451">
        <f t="shared" si="3"/>
        <v>0</v>
      </c>
      <c r="Z49" s="451"/>
      <c r="AA49" s="113"/>
      <c r="AB49" s="113"/>
      <c r="AC49" s="113"/>
      <c r="AD49" s="116"/>
    </row>
    <row r="50" spans="5:30" ht="11.1" customHeight="1" x14ac:dyDescent="0.25">
      <c r="E50" s="135" t="s">
        <v>75</v>
      </c>
      <c r="F50" s="472">
        <v>0</v>
      </c>
      <c r="G50" s="472"/>
      <c r="H50" s="472"/>
      <c r="I50" s="472"/>
      <c r="J50" s="472"/>
      <c r="K50" s="472"/>
      <c r="L50" s="472"/>
      <c r="M50" s="472"/>
      <c r="N50" s="472"/>
      <c r="O50" s="472">
        <v>0</v>
      </c>
      <c r="P50" s="472"/>
      <c r="Q50" s="472"/>
      <c r="R50" s="472"/>
      <c r="S50" s="472"/>
      <c r="T50" s="472"/>
      <c r="U50" s="472"/>
      <c r="V50" s="472"/>
      <c r="W50" s="472">
        <f t="shared" si="2"/>
        <v>0</v>
      </c>
      <c r="X50" s="472"/>
      <c r="Y50" s="451">
        <f t="shared" si="3"/>
        <v>0</v>
      </c>
      <c r="Z50" s="451"/>
      <c r="AA50" s="113"/>
      <c r="AB50" s="113"/>
      <c r="AC50" s="113"/>
      <c r="AD50" s="116"/>
    </row>
    <row r="51" spans="5:30" ht="11.1" customHeight="1" x14ac:dyDescent="0.25">
      <c r="E51" s="135" t="s">
        <v>76</v>
      </c>
      <c r="F51" s="472">
        <v>1</v>
      </c>
      <c r="G51" s="472"/>
      <c r="H51" s="472"/>
      <c r="I51" s="472"/>
      <c r="J51" s="472"/>
      <c r="K51" s="472"/>
      <c r="L51" s="472"/>
      <c r="M51" s="472"/>
      <c r="N51" s="472"/>
      <c r="O51" s="472">
        <v>1</v>
      </c>
      <c r="P51" s="472"/>
      <c r="Q51" s="472"/>
      <c r="R51" s="472"/>
      <c r="S51" s="472"/>
      <c r="T51" s="472"/>
      <c r="U51" s="472"/>
      <c r="V51" s="472"/>
      <c r="W51" s="472">
        <f t="shared" si="2"/>
        <v>2</v>
      </c>
      <c r="X51" s="472"/>
      <c r="Y51" s="451">
        <f t="shared" si="3"/>
        <v>100</v>
      </c>
      <c r="Z51" s="451"/>
      <c r="AA51" s="113"/>
      <c r="AB51" s="113"/>
      <c r="AC51" s="113"/>
      <c r="AD51" s="116"/>
    </row>
    <row r="52" spans="5:30" ht="11.1" customHeight="1" x14ac:dyDescent="0.25">
      <c r="E52" s="135" t="s">
        <v>77</v>
      </c>
      <c r="F52" s="472">
        <v>1</v>
      </c>
      <c r="G52" s="472"/>
      <c r="H52" s="472"/>
      <c r="I52" s="472"/>
      <c r="J52" s="472"/>
      <c r="K52" s="472"/>
      <c r="L52" s="472"/>
      <c r="M52" s="472"/>
      <c r="N52" s="472"/>
      <c r="O52" s="472">
        <v>1</v>
      </c>
      <c r="P52" s="472"/>
      <c r="Q52" s="472"/>
      <c r="R52" s="472"/>
      <c r="S52" s="472"/>
      <c r="T52" s="472"/>
      <c r="U52" s="472"/>
      <c r="V52" s="472"/>
      <c r="W52" s="472">
        <f t="shared" si="2"/>
        <v>2</v>
      </c>
      <c r="X52" s="472"/>
      <c r="Y52" s="451">
        <f t="shared" si="3"/>
        <v>100</v>
      </c>
      <c r="Z52" s="451"/>
      <c r="AA52" s="113"/>
      <c r="AB52" s="113"/>
      <c r="AC52" s="113"/>
      <c r="AD52" s="116"/>
    </row>
    <row r="53" spans="5:30" ht="11.1" customHeight="1" x14ac:dyDescent="0.25">
      <c r="E53" s="135" t="s">
        <v>78</v>
      </c>
      <c r="F53" s="472">
        <v>1</v>
      </c>
      <c r="G53" s="472"/>
      <c r="H53" s="472"/>
      <c r="I53" s="472"/>
      <c r="J53" s="472"/>
      <c r="K53" s="472"/>
      <c r="L53" s="472"/>
      <c r="M53" s="472"/>
      <c r="N53" s="472"/>
      <c r="O53" s="472">
        <v>1</v>
      </c>
      <c r="P53" s="472"/>
      <c r="Q53" s="472"/>
      <c r="R53" s="472"/>
      <c r="S53" s="472"/>
      <c r="T53" s="472"/>
      <c r="U53" s="472"/>
      <c r="V53" s="472"/>
      <c r="W53" s="472">
        <f t="shared" si="2"/>
        <v>2</v>
      </c>
      <c r="X53" s="472"/>
      <c r="Y53" s="451">
        <f t="shared" si="3"/>
        <v>100</v>
      </c>
      <c r="Z53" s="451"/>
      <c r="AA53" s="113"/>
      <c r="AB53" s="113"/>
      <c r="AC53" s="113"/>
      <c r="AD53" s="116"/>
    </row>
    <row r="54" spans="5:30" ht="11.1" customHeight="1" x14ac:dyDescent="0.25">
      <c r="E54" s="135" t="s">
        <v>79</v>
      </c>
      <c r="F54" s="472">
        <v>1</v>
      </c>
      <c r="G54" s="472"/>
      <c r="H54" s="472"/>
      <c r="I54" s="472"/>
      <c r="J54" s="472"/>
      <c r="K54" s="472"/>
      <c r="L54" s="472"/>
      <c r="M54" s="472"/>
      <c r="N54" s="472"/>
      <c r="O54" s="472">
        <v>1</v>
      </c>
      <c r="P54" s="472"/>
      <c r="Q54" s="472"/>
      <c r="R54" s="472"/>
      <c r="S54" s="472"/>
      <c r="T54" s="472"/>
      <c r="U54" s="472"/>
      <c r="V54" s="472"/>
      <c r="W54" s="472">
        <f t="shared" si="2"/>
        <v>2</v>
      </c>
      <c r="X54" s="472"/>
      <c r="Y54" s="451">
        <f t="shared" si="3"/>
        <v>100</v>
      </c>
      <c r="Z54" s="451"/>
      <c r="AA54" s="113"/>
      <c r="AB54" s="113"/>
      <c r="AC54" s="113"/>
      <c r="AD54" s="116"/>
    </row>
    <row r="55" spans="5:30" ht="11.1" customHeight="1" x14ac:dyDescent="0.25">
      <c r="E55" s="135" t="s">
        <v>289</v>
      </c>
      <c r="F55" s="472">
        <v>1</v>
      </c>
      <c r="G55" s="472"/>
      <c r="H55" s="472"/>
      <c r="I55" s="472"/>
      <c r="J55" s="472"/>
      <c r="K55" s="472"/>
      <c r="L55" s="472"/>
      <c r="M55" s="472"/>
      <c r="N55" s="472"/>
      <c r="O55" s="472">
        <v>1</v>
      </c>
      <c r="P55" s="472"/>
      <c r="Q55" s="472"/>
      <c r="R55" s="472"/>
      <c r="S55" s="472"/>
      <c r="T55" s="472"/>
      <c r="U55" s="472"/>
      <c r="V55" s="472"/>
      <c r="W55" s="472">
        <f t="shared" si="2"/>
        <v>2</v>
      </c>
      <c r="X55" s="472"/>
      <c r="Y55" s="451">
        <f t="shared" si="3"/>
        <v>100</v>
      </c>
      <c r="Z55" s="451"/>
      <c r="AA55" s="113"/>
      <c r="AB55" s="113"/>
      <c r="AC55" s="113"/>
      <c r="AD55" s="116"/>
    </row>
    <row r="56" spans="5:30" ht="11.1" customHeight="1" x14ac:dyDescent="0.25">
      <c r="E56" s="135" t="s">
        <v>290</v>
      </c>
      <c r="F56" s="472">
        <v>1</v>
      </c>
      <c r="G56" s="472"/>
      <c r="H56" s="472"/>
      <c r="I56" s="472"/>
      <c r="J56" s="472"/>
      <c r="K56" s="472"/>
      <c r="L56" s="472"/>
      <c r="M56" s="472"/>
      <c r="N56" s="472"/>
      <c r="O56" s="472">
        <v>1</v>
      </c>
      <c r="P56" s="472"/>
      <c r="Q56" s="472"/>
      <c r="R56" s="472"/>
      <c r="S56" s="472"/>
      <c r="T56" s="472"/>
      <c r="U56" s="472"/>
      <c r="V56" s="472"/>
      <c r="W56" s="472">
        <f t="shared" si="2"/>
        <v>2</v>
      </c>
      <c r="X56" s="472"/>
      <c r="Y56" s="451">
        <f t="shared" si="3"/>
        <v>100</v>
      </c>
      <c r="Z56" s="451"/>
      <c r="AA56" s="113"/>
      <c r="AB56" s="113"/>
      <c r="AC56" s="113"/>
      <c r="AD56" s="116"/>
    </row>
    <row r="57" spans="5:30" ht="11.1" customHeight="1" x14ac:dyDescent="0.25">
      <c r="E57" s="135" t="s">
        <v>291</v>
      </c>
      <c r="F57" s="472">
        <v>1</v>
      </c>
      <c r="G57" s="472"/>
      <c r="H57" s="472"/>
      <c r="I57" s="472"/>
      <c r="J57" s="472"/>
      <c r="K57" s="472"/>
      <c r="L57" s="472"/>
      <c r="M57" s="472"/>
      <c r="N57" s="472"/>
      <c r="O57" s="472">
        <v>1</v>
      </c>
      <c r="P57" s="472"/>
      <c r="Q57" s="472"/>
      <c r="R57" s="472"/>
      <c r="S57" s="472"/>
      <c r="T57" s="472"/>
      <c r="U57" s="472"/>
      <c r="V57" s="472"/>
      <c r="W57" s="472">
        <f t="shared" si="2"/>
        <v>2</v>
      </c>
      <c r="X57" s="472"/>
      <c r="Y57" s="451">
        <f t="shared" si="3"/>
        <v>100</v>
      </c>
      <c r="Z57" s="451"/>
      <c r="AA57" s="113"/>
      <c r="AB57" s="113"/>
      <c r="AC57" s="113"/>
      <c r="AD57" s="116"/>
    </row>
    <row r="58" spans="5:30" ht="11.1" customHeight="1" x14ac:dyDescent="0.25">
      <c r="E58" s="135" t="s">
        <v>292</v>
      </c>
      <c r="F58" s="472">
        <v>1</v>
      </c>
      <c r="G58" s="472"/>
      <c r="H58" s="472"/>
      <c r="I58" s="472"/>
      <c r="J58" s="472"/>
      <c r="K58" s="472"/>
      <c r="L58" s="472"/>
      <c r="M58" s="472"/>
      <c r="N58" s="472"/>
      <c r="O58" s="472">
        <v>1</v>
      </c>
      <c r="P58" s="472"/>
      <c r="Q58" s="472"/>
      <c r="R58" s="472"/>
      <c r="S58" s="472"/>
      <c r="T58" s="472"/>
      <c r="U58" s="472"/>
      <c r="V58" s="472"/>
      <c r="W58" s="472">
        <f t="shared" si="2"/>
        <v>2</v>
      </c>
      <c r="X58" s="472"/>
      <c r="Y58" s="451">
        <f t="shared" si="3"/>
        <v>100</v>
      </c>
      <c r="Z58" s="451"/>
      <c r="AA58" s="113"/>
      <c r="AB58" s="113"/>
      <c r="AC58" s="113"/>
      <c r="AD58" s="116"/>
    </row>
    <row r="59" spans="5:30" ht="11.1" customHeight="1" x14ac:dyDescent="0.25">
      <c r="E59" s="135" t="s">
        <v>293</v>
      </c>
      <c r="F59" s="472">
        <v>1</v>
      </c>
      <c r="G59" s="472"/>
      <c r="H59" s="472"/>
      <c r="I59" s="472"/>
      <c r="J59" s="472"/>
      <c r="K59" s="472"/>
      <c r="L59" s="472"/>
      <c r="M59" s="472"/>
      <c r="N59" s="472"/>
      <c r="O59" s="472">
        <v>1</v>
      </c>
      <c r="P59" s="472"/>
      <c r="Q59" s="472"/>
      <c r="R59" s="472"/>
      <c r="S59" s="472"/>
      <c r="T59" s="472"/>
      <c r="U59" s="472"/>
      <c r="V59" s="472"/>
      <c r="W59" s="472">
        <f t="shared" si="2"/>
        <v>2</v>
      </c>
      <c r="X59" s="472"/>
      <c r="Y59" s="451">
        <f t="shared" si="3"/>
        <v>100</v>
      </c>
      <c r="Z59" s="451"/>
      <c r="AA59" s="113"/>
      <c r="AB59" s="113"/>
      <c r="AC59" s="113"/>
      <c r="AD59" s="116"/>
    </row>
    <row r="60" spans="5:30" ht="11.1" customHeight="1" x14ac:dyDescent="0.25">
      <c r="E60" s="135" t="s">
        <v>294</v>
      </c>
      <c r="F60" s="472">
        <v>1</v>
      </c>
      <c r="G60" s="472"/>
      <c r="H60" s="472"/>
      <c r="I60" s="472"/>
      <c r="J60" s="472"/>
      <c r="K60" s="472"/>
      <c r="L60" s="472"/>
      <c r="M60" s="472"/>
      <c r="N60" s="472"/>
      <c r="O60" s="472">
        <v>1</v>
      </c>
      <c r="P60" s="472"/>
      <c r="Q60" s="472"/>
      <c r="R60" s="472"/>
      <c r="S60" s="472"/>
      <c r="T60" s="472"/>
      <c r="U60" s="472"/>
      <c r="V60" s="472"/>
      <c r="W60" s="472">
        <f t="shared" si="2"/>
        <v>2</v>
      </c>
      <c r="X60" s="472"/>
      <c r="Y60" s="451">
        <f t="shared" si="3"/>
        <v>100</v>
      </c>
      <c r="Z60" s="451"/>
      <c r="AA60" s="113"/>
      <c r="AB60" s="113"/>
      <c r="AC60" s="113"/>
      <c r="AD60" s="116"/>
    </row>
    <row r="61" spans="5:30" ht="11.1" customHeight="1" x14ac:dyDescent="0.25">
      <c r="E61" s="135" t="s">
        <v>295</v>
      </c>
      <c r="F61" s="472">
        <v>1</v>
      </c>
      <c r="G61" s="472"/>
      <c r="H61" s="472"/>
      <c r="I61" s="472"/>
      <c r="J61" s="472"/>
      <c r="K61" s="472"/>
      <c r="L61" s="472"/>
      <c r="M61" s="472"/>
      <c r="N61" s="472"/>
      <c r="O61" s="472">
        <v>1</v>
      </c>
      <c r="P61" s="472"/>
      <c r="Q61" s="472"/>
      <c r="R61" s="472"/>
      <c r="S61" s="472"/>
      <c r="T61" s="472"/>
      <c r="U61" s="472"/>
      <c r="V61" s="472"/>
      <c r="W61" s="472">
        <f t="shared" si="2"/>
        <v>2</v>
      </c>
      <c r="X61" s="472"/>
      <c r="Y61" s="451">
        <f t="shared" si="3"/>
        <v>100</v>
      </c>
      <c r="Z61" s="451"/>
      <c r="AA61" s="113"/>
      <c r="AB61" s="113"/>
      <c r="AC61" s="113"/>
      <c r="AD61" s="116"/>
    </row>
    <row r="62" spans="5:30" ht="11.1" customHeight="1" x14ac:dyDescent="0.25">
      <c r="E62" s="135" t="s">
        <v>296</v>
      </c>
      <c r="F62" s="472">
        <v>1</v>
      </c>
      <c r="G62" s="472"/>
      <c r="H62" s="472"/>
      <c r="I62" s="472"/>
      <c r="J62" s="472"/>
      <c r="K62" s="472"/>
      <c r="L62" s="472"/>
      <c r="M62" s="472"/>
      <c r="N62" s="472"/>
      <c r="O62" s="472">
        <v>1</v>
      </c>
      <c r="P62" s="472"/>
      <c r="Q62" s="472"/>
      <c r="R62" s="472"/>
      <c r="S62" s="472"/>
      <c r="T62" s="472"/>
      <c r="U62" s="472"/>
      <c r="V62" s="472"/>
      <c r="W62" s="472">
        <f t="shared" si="2"/>
        <v>2</v>
      </c>
      <c r="X62" s="472"/>
      <c r="Y62" s="451">
        <f t="shared" si="3"/>
        <v>100</v>
      </c>
      <c r="Z62" s="451"/>
      <c r="AA62" s="113"/>
      <c r="AB62" s="113"/>
      <c r="AC62" s="113"/>
      <c r="AD62" s="116"/>
    </row>
    <row r="63" spans="5:30" ht="11.1" customHeight="1" x14ac:dyDescent="0.25">
      <c r="E63" s="135" t="s">
        <v>297</v>
      </c>
      <c r="F63" s="472">
        <v>1</v>
      </c>
      <c r="G63" s="472"/>
      <c r="H63" s="472"/>
      <c r="I63" s="472"/>
      <c r="J63" s="472"/>
      <c r="K63" s="472"/>
      <c r="L63" s="472"/>
      <c r="M63" s="472"/>
      <c r="N63" s="472"/>
      <c r="O63" s="472">
        <v>1</v>
      </c>
      <c r="P63" s="472"/>
      <c r="Q63" s="472"/>
      <c r="R63" s="472"/>
      <c r="S63" s="472"/>
      <c r="T63" s="472"/>
      <c r="U63" s="472"/>
      <c r="V63" s="472"/>
      <c r="W63" s="472">
        <f t="shared" si="2"/>
        <v>2</v>
      </c>
      <c r="X63" s="472"/>
      <c r="Y63" s="451">
        <f t="shared" si="3"/>
        <v>100</v>
      </c>
      <c r="Z63" s="451"/>
      <c r="AA63" s="113"/>
      <c r="AB63" s="113"/>
      <c r="AC63" s="113"/>
      <c r="AD63" s="116"/>
    </row>
    <row r="64" spans="5:30" ht="11.1" customHeight="1" x14ac:dyDescent="0.25">
      <c r="E64" s="135" t="s">
        <v>298</v>
      </c>
      <c r="F64" s="472">
        <v>1</v>
      </c>
      <c r="G64" s="472"/>
      <c r="H64" s="472"/>
      <c r="I64" s="472"/>
      <c r="J64" s="472"/>
      <c r="K64" s="472"/>
      <c r="L64" s="472"/>
      <c r="M64" s="472"/>
      <c r="N64" s="472"/>
      <c r="O64" s="472">
        <v>1</v>
      </c>
      <c r="P64" s="472"/>
      <c r="Q64" s="472"/>
      <c r="R64" s="472"/>
      <c r="S64" s="472"/>
      <c r="T64" s="472"/>
      <c r="U64" s="472"/>
      <c r="V64" s="472"/>
      <c r="W64" s="472">
        <f t="shared" si="2"/>
        <v>2</v>
      </c>
      <c r="X64" s="472"/>
      <c r="Y64" s="451">
        <f t="shared" si="3"/>
        <v>100</v>
      </c>
      <c r="Z64" s="451"/>
      <c r="AA64" s="113"/>
      <c r="AB64" s="113"/>
      <c r="AC64" s="113"/>
      <c r="AD64" s="116"/>
    </row>
    <row r="65" spans="5:30" ht="11.1" customHeight="1" x14ac:dyDescent="0.25">
      <c r="E65" s="135" t="s">
        <v>299</v>
      </c>
      <c r="F65" s="472">
        <v>0</v>
      </c>
      <c r="G65" s="472"/>
      <c r="H65" s="472"/>
      <c r="I65" s="472"/>
      <c r="J65" s="472"/>
      <c r="K65" s="472"/>
      <c r="L65" s="472"/>
      <c r="M65" s="472"/>
      <c r="N65" s="472"/>
      <c r="O65" s="472">
        <v>0</v>
      </c>
      <c r="P65" s="472"/>
      <c r="Q65" s="472"/>
      <c r="R65" s="472"/>
      <c r="S65" s="472"/>
      <c r="T65" s="472"/>
      <c r="U65" s="472"/>
      <c r="V65" s="472"/>
      <c r="W65" s="472">
        <f t="shared" si="2"/>
        <v>0</v>
      </c>
      <c r="X65" s="472"/>
      <c r="Y65" s="451">
        <f t="shared" si="3"/>
        <v>0</v>
      </c>
      <c r="Z65" s="451"/>
      <c r="AA65" s="113"/>
      <c r="AB65" s="113"/>
      <c r="AC65" s="113"/>
      <c r="AD65" s="116"/>
    </row>
    <row r="66" spans="5:30" ht="11.1" customHeight="1" x14ac:dyDescent="0.25">
      <c r="E66" s="135" t="s">
        <v>300</v>
      </c>
      <c r="F66" s="472">
        <v>0</v>
      </c>
      <c r="G66" s="472"/>
      <c r="H66" s="472"/>
      <c r="I66" s="472"/>
      <c r="J66" s="472"/>
      <c r="K66" s="472"/>
      <c r="L66" s="472"/>
      <c r="M66" s="472"/>
      <c r="N66" s="472"/>
      <c r="O66" s="472">
        <v>0</v>
      </c>
      <c r="P66" s="472"/>
      <c r="Q66" s="472"/>
      <c r="R66" s="472"/>
      <c r="S66" s="472"/>
      <c r="T66" s="472"/>
      <c r="U66" s="472"/>
      <c r="V66" s="472"/>
      <c r="W66" s="472">
        <f t="shared" si="2"/>
        <v>0</v>
      </c>
      <c r="X66" s="472"/>
      <c r="Y66" s="451">
        <f t="shared" si="3"/>
        <v>0</v>
      </c>
      <c r="Z66" s="451"/>
      <c r="AA66" s="113"/>
      <c r="AB66" s="113"/>
      <c r="AC66" s="113"/>
      <c r="AD66" s="116"/>
    </row>
    <row r="67" spans="5:30" ht="11.1" customHeight="1" x14ac:dyDescent="0.25">
      <c r="E67" s="135" t="s">
        <v>301</v>
      </c>
      <c r="F67" s="472">
        <v>0</v>
      </c>
      <c r="G67" s="472"/>
      <c r="H67" s="472"/>
      <c r="I67" s="472"/>
      <c r="J67" s="472"/>
      <c r="K67" s="472"/>
      <c r="L67" s="472"/>
      <c r="M67" s="472"/>
      <c r="N67" s="472"/>
      <c r="O67" s="472">
        <v>0</v>
      </c>
      <c r="P67" s="472"/>
      <c r="Q67" s="472"/>
      <c r="R67" s="472"/>
      <c r="S67" s="472"/>
      <c r="T67" s="472"/>
      <c r="U67" s="472"/>
      <c r="V67" s="472"/>
      <c r="W67" s="472">
        <f t="shared" si="2"/>
        <v>0</v>
      </c>
      <c r="X67" s="472"/>
      <c r="Y67" s="451">
        <f t="shared" si="3"/>
        <v>0</v>
      </c>
      <c r="Z67" s="451"/>
      <c r="AA67" s="113"/>
      <c r="AB67" s="113"/>
      <c r="AC67" s="113"/>
      <c r="AD67" s="116"/>
    </row>
    <row r="68" spans="5:30" ht="11.1" customHeight="1" x14ac:dyDescent="0.25">
      <c r="E68" s="136" t="s">
        <v>302</v>
      </c>
      <c r="F68" s="474">
        <v>0</v>
      </c>
      <c r="G68" s="474"/>
      <c r="H68" s="474"/>
      <c r="I68" s="474"/>
      <c r="J68" s="474"/>
      <c r="K68" s="474"/>
      <c r="L68" s="474"/>
      <c r="M68" s="474"/>
      <c r="N68" s="474"/>
      <c r="O68" s="474">
        <v>0</v>
      </c>
      <c r="P68" s="474"/>
      <c r="Q68" s="474"/>
      <c r="R68" s="474"/>
      <c r="S68" s="474"/>
      <c r="T68" s="474"/>
      <c r="U68" s="474"/>
      <c r="V68" s="474"/>
      <c r="W68" s="474">
        <f t="shared" si="2"/>
        <v>0</v>
      </c>
      <c r="X68" s="474"/>
      <c r="Y68" s="427">
        <f>W68*100/2</f>
        <v>0</v>
      </c>
      <c r="Z68" s="427"/>
      <c r="AA68" s="113"/>
      <c r="AB68" s="113"/>
      <c r="AC68" s="113"/>
      <c r="AD68" s="116"/>
    </row>
    <row r="69" spans="5:30" ht="2.1" customHeight="1" x14ac:dyDescent="0.25">
      <c r="E69" s="11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16"/>
    </row>
    <row r="70" spans="5:30" ht="11.1" customHeight="1" x14ac:dyDescent="0.25">
      <c r="E70" s="475" t="s">
        <v>303</v>
      </c>
      <c r="F70" s="476"/>
      <c r="G70" s="476"/>
      <c r="H70" s="476"/>
      <c r="I70" s="476"/>
      <c r="J70" s="476"/>
      <c r="K70" s="476"/>
      <c r="L70" s="476"/>
      <c r="M70" s="476"/>
      <c r="N70" s="476"/>
      <c r="O70" s="118" t="s">
        <v>304</v>
      </c>
      <c r="P70" s="477">
        <f>SUM(Y45:Y68)/100</f>
        <v>14</v>
      </c>
      <c r="Q70" s="478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19"/>
    </row>
    <row r="71" spans="5:30" ht="11.1" customHeight="1" x14ac:dyDescent="0.25">
      <c r="E71" s="416" t="s">
        <v>332</v>
      </c>
      <c r="F71" s="417"/>
      <c r="G71" s="417"/>
      <c r="H71" s="417"/>
      <c r="I71" s="417"/>
      <c r="J71" s="417"/>
      <c r="K71" s="417"/>
      <c r="L71" s="417"/>
      <c r="M71" s="417"/>
      <c r="N71" s="417"/>
      <c r="O71" s="108" t="s">
        <v>308</v>
      </c>
      <c r="P71" s="418">
        <v>7.3333000000000004</v>
      </c>
      <c r="Q71" s="419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5:30" ht="11.1" customHeight="1" x14ac:dyDescent="0.25">
      <c r="E72" s="416" t="s">
        <v>310</v>
      </c>
      <c r="F72" s="417"/>
      <c r="G72" s="417"/>
      <c r="H72" s="417"/>
      <c r="I72" s="417"/>
      <c r="J72" s="417"/>
      <c r="K72" s="417"/>
      <c r="L72" s="417"/>
      <c r="M72" s="417"/>
      <c r="N72" s="417"/>
      <c r="O72" s="109" t="s">
        <v>311</v>
      </c>
      <c r="P72" s="408">
        <f>P70/P71</f>
        <v>1.9090995868163037</v>
      </c>
      <c r="Q72" s="409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5:30" ht="11.1" customHeight="1" x14ac:dyDescent="0.25">
      <c r="E73" s="416" t="s">
        <v>313</v>
      </c>
      <c r="F73" s="417"/>
      <c r="G73" s="417"/>
      <c r="H73" s="417"/>
      <c r="I73" s="417"/>
      <c r="J73" s="417"/>
      <c r="K73" s="417"/>
      <c r="L73" s="417"/>
      <c r="M73" s="417"/>
      <c r="N73" s="417"/>
      <c r="O73" s="108" t="s">
        <v>314</v>
      </c>
      <c r="P73" s="408">
        <v>0</v>
      </c>
      <c r="Q73" s="419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5:30" ht="11.1" customHeight="1" x14ac:dyDescent="0.25">
      <c r="E74" s="416" t="s">
        <v>316</v>
      </c>
      <c r="F74" s="417"/>
      <c r="G74" s="417"/>
      <c r="H74" s="417"/>
      <c r="I74" s="417"/>
      <c r="J74" s="417"/>
      <c r="K74" s="417"/>
      <c r="L74" s="417"/>
      <c r="M74" s="417"/>
      <c r="N74" s="417"/>
      <c r="O74" s="108" t="s">
        <v>317</v>
      </c>
      <c r="P74" s="408">
        <f>P72-P73</f>
        <v>1.9090995868163037</v>
      </c>
      <c r="Q74" s="41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5:30" ht="11.1" customHeight="1" x14ac:dyDescent="0.25">
      <c r="E75" s="416" t="s">
        <v>319</v>
      </c>
      <c r="F75" s="417"/>
      <c r="G75" s="417"/>
      <c r="H75" s="417"/>
      <c r="I75" s="417"/>
      <c r="J75" s="417"/>
      <c r="K75" s="417"/>
      <c r="L75" s="417"/>
      <c r="M75" s="417"/>
      <c r="N75" s="417"/>
      <c r="O75" s="108" t="s">
        <v>320</v>
      </c>
      <c r="P75" s="408">
        <f>(P74+(P73*1.5)*(1+(52/(365-52))))</f>
        <v>1.9090995868163037</v>
      </c>
      <c r="Q75" s="409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5:30" ht="11.1" customHeight="1" x14ac:dyDescent="0.25">
      <c r="E76" s="416" t="s">
        <v>321</v>
      </c>
      <c r="F76" s="417"/>
      <c r="G76" s="417"/>
      <c r="H76" s="417"/>
      <c r="I76" s="417"/>
      <c r="J76" s="417"/>
      <c r="K76" s="417"/>
      <c r="L76" s="417"/>
      <c r="M76" s="417"/>
      <c r="N76" s="417"/>
      <c r="O76" s="108" t="s">
        <v>322</v>
      </c>
      <c r="P76" s="408">
        <f>P81+N82+N83+N84+N85</f>
        <v>11.283922789539229</v>
      </c>
      <c r="Q76" s="419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5:30" ht="11.1" customHeight="1" x14ac:dyDescent="0.25">
      <c r="E77" s="416" t="s">
        <v>323</v>
      </c>
      <c r="F77" s="417"/>
      <c r="G77" s="417"/>
      <c r="H77" s="417"/>
      <c r="I77" s="417"/>
      <c r="J77" s="417"/>
      <c r="K77" s="417"/>
      <c r="L77" s="417"/>
      <c r="M77" s="417"/>
      <c r="N77" s="417"/>
      <c r="O77" s="108" t="s">
        <v>324</v>
      </c>
      <c r="P77" s="408">
        <f>P75*P76/100</f>
        <v>0.21542132335176414</v>
      </c>
      <c r="Q77" s="409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5:30" ht="11.1" customHeight="1" x14ac:dyDescent="0.25">
      <c r="E78" s="479" t="s">
        <v>333</v>
      </c>
      <c r="F78" s="480"/>
      <c r="G78" s="480"/>
      <c r="H78" s="480"/>
      <c r="I78" s="480"/>
      <c r="J78" s="480"/>
      <c r="K78" s="480"/>
      <c r="L78" s="480"/>
      <c r="M78" s="480"/>
      <c r="N78" s="480"/>
      <c r="O78" s="112"/>
      <c r="P78" s="414">
        <f>P75+P77</f>
        <v>2.124520910168068</v>
      </c>
      <c r="Q78" s="48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5:30" ht="2.1" customHeight="1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482"/>
      <c r="Q79" s="482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5:30" ht="12" customHeight="1" x14ac:dyDescent="0.25">
      <c r="E80" s="439" t="s">
        <v>305</v>
      </c>
      <c r="F80" s="440"/>
      <c r="G80" s="440"/>
      <c r="H80" s="440"/>
      <c r="I80" s="440"/>
      <c r="J80" s="440"/>
      <c r="K80" s="440"/>
      <c r="L80" s="440"/>
      <c r="M80" s="440"/>
      <c r="N80" s="443">
        <v>0</v>
      </c>
      <c r="O80" s="444"/>
      <c r="P80" s="446" t="s">
        <v>306</v>
      </c>
      <c r="Q80" s="446"/>
      <c r="R80" s="44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5:18" x14ac:dyDescent="0.25">
      <c r="E81" s="441"/>
      <c r="F81" s="442"/>
      <c r="G81" s="442"/>
      <c r="H81" s="442"/>
      <c r="I81" s="442"/>
      <c r="J81" s="442"/>
      <c r="K81" s="442"/>
      <c r="L81" s="442"/>
      <c r="M81" s="442"/>
      <c r="N81" s="445"/>
      <c r="O81" s="445"/>
      <c r="P81" s="448">
        <v>0</v>
      </c>
      <c r="Q81" s="448"/>
      <c r="R81" s="449"/>
    </row>
    <row r="82" spans="5:18" x14ac:dyDescent="0.25">
      <c r="E82" s="420" t="s">
        <v>309</v>
      </c>
      <c r="F82" s="421"/>
      <c r="G82" s="421"/>
      <c r="H82" s="421"/>
      <c r="I82" s="421"/>
      <c r="J82" s="421"/>
      <c r="K82" s="421"/>
      <c r="L82" s="421"/>
      <c r="M82" s="421"/>
      <c r="N82" s="422">
        <v>0.33</v>
      </c>
      <c r="O82" s="422"/>
      <c r="P82" s="422"/>
      <c r="Q82" s="422"/>
      <c r="R82" s="423"/>
    </row>
    <row r="83" spans="5:18" x14ac:dyDescent="0.25">
      <c r="E83" s="420" t="s">
        <v>312</v>
      </c>
      <c r="F83" s="421"/>
      <c r="G83" s="421"/>
      <c r="H83" s="421"/>
      <c r="I83" s="421"/>
      <c r="J83" s="421"/>
      <c r="K83" s="421"/>
      <c r="L83" s="421"/>
      <c r="M83" s="421"/>
      <c r="N83" s="422">
        <f>(1/12)/(1-(1/12))*100</f>
        <v>9.0909090909090917</v>
      </c>
      <c r="O83" s="422"/>
      <c r="P83" s="422"/>
      <c r="Q83" s="422"/>
      <c r="R83" s="423"/>
    </row>
    <row r="84" spans="5:18" x14ac:dyDescent="0.25">
      <c r="E84" s="420" t="s">
        <v>315</v>
      </c>
      <c r="F84" s="421"/>
      <c r="G84" s="421"/>
      <c r="H84" s="421"/>
      <c r="I84" s="421"/>
      <c r="J84" s="421"/>
      <c r="K84" s="421"/>
      <c r="L84" s="421"/>
      <c r="M84" s="421"/>
      <c r="N84" s="422">
        <f>(15/365)*0.12*100</f>
        <v>0.49315068493150682</v>
      </c>
      <c r="O84" s="422"/>
      <c r="P84" s="422"/>
      <c r="Q84" s="422"/>
      <c r="R84" s="423"/>
    </row>
    <row r="85" spans="5:18" x14ac:dyDescent="0.25">
      <c r="E85" s="410" t="s">
        <v>318</v>
      </c>
      <c r="F85" s="411"/>
      <c r="G85" s="411"/>
      <c r="H85" s="411"/>
      <c r="I85" s="411"/>
      <c r="J85" s="411"/>
      <c r="K85" s="411"/>
      <c r="L85" s="411"/>
      <c r="M85" s="411"/>
      <c r="N85" s="412">
        <f>(5/365)*100</f>
        <v>1.3698630136986301</v>
      </c>
      <c r="O85" s="412"/>
      <c r="P85" s="412"/>
      <c r="Q85" s="412"/>
      <c r="R85" s="413"/>
    </row>
  </sheetData>
  <mergeCells count="227">
    <mergeCell ref="AE3:AG3"/>
    <mergeCell ref="AH3:AI3"/>
    <mergeCell ref="AH4:AI4"/>
    <mergeCell ref="AD3:AD4"/>
    <mergeCell ref="AJ3:AK3"/>
    <mergeCell ref="AE4:AG4"/>
    <mergeCell ref="AJ4:AK4"/>
    <mergeCell ref="AD5:AG5"/>
    <mergeCell ref="AH5:AI5"/>
    <mergeCell ref="AJ5:AK5"/>
    <mergeCell ref="E83:M83"/>
    <mergeCell ref="N83:R83"/>
    <mergeCell ref="E84:M84"/>
    <mergeCell ref="N84:R84"/>
    <mergeCell ref="E85:M85"/>
    <mergeCell ref="N85:R85"/>
    <mergeCell ref="P79:Q79"/>
    <mergeCell ref="E80:M81"/>
    <mergeCell ref="N80:O81"/>
    <mergeCell ref="P80:R80"/>
    <mergeCell ref="P81:R81"/>
    <mergeCell ref="E82:M82"/>
    <mergeCell ref="N82:R82"/>
    <mergeCell ref="E76:N76"/>
    <mergeCell ref="P76:Q76"/>
    <mergeCell ref="E77:N77"/>
    <mergeCell ref="P77:Q77"/>
    <mergeCell ref="E78:N78"/>
    <mergeCell ref="P78:Q78"/>
    <mergeCell ref="E73:N73"/>
    <mergeCell ref="P73:Q73"/>
    <mergeCell ref="E74:N74"/>
    <mergeCell ref="P74:Q74"/>
    <mergeCell ref="E75:N75"/>
    <mergeCell ref="P75:Q75"/>
    <mergeCell ref="E70:N70"/>
    <mergeCell ref="P70:Q70"/>
    <mergeCell ref="E71:N71"/>
    <mergeCell ref="P71:Q71"/>
    <mergeCell ref="E72:N72"/>
    <mergeCell ref="P72:Q72"/>
    <mergeCell ref="F67:N67"/>
    <mergeCell ref="O67:V67"/>
    <mergeCell ref="W67:X67"/>
    <mergeCell ref="Y67:Z67"/>
    <mergeCell ref="F68:N68"/>
    <mergeCell ref="O68:V68"/>
    <mergeCell ref="W68:X68"/>
    <mergeCell ref="Y68:Z68"/>
    <mergeCell ref="F65:N65"/>
    <mergeCell ref="O65:V65"/>
    <mergeCell ref="W65:X65"/>
    <mergeCell ref="Y65:Z65"/>
    <mergeCell ref="F66:N66"/>
    <mergeCell ref="O66:V66"/>
    <mergeCell ref="W66:X66"/>
    <mergeCell ref="Y66:Z66"/>
    <mergeCell ref="F63:N63"/>
    <mergeCell ref="O63:V63"/>
    <mergeCell ref="W63:X63"/>
    <mergeCell ref="Y63:Z63"/>
    <mergeCell ref="F64:N64"/>
    <mergeCell ref="O64:V64"/>
    <mergeCell ref="W64:X64"/>
    <mergeCell ref="Y64:Z64"/>
    <mergeCell ref="F61:N61"/>
    <mergeCell ref="O61:V61"/>
    <mergeCell ref="W61:X61"/>
    <mergeCell ref="Y61:Z61"/>
    <mergeCell ref="F62:N62"/>
    <mergeCell ref="O62:V62"/>
    <mergeCell ref="W62:X62"/>
    <mergeCell ref="Y62:Z62"/>
    <mergeCell ref="F59:N59"/>
    <mergeCell ref="O59:V59"/>
    <mergeCell ref="W59:X59"/>
    <mergeCell ref="Y59:Z59"/>
    <mergeCell ref="F60:N60"/>
    <mergeCell ref="O60:V60"/>
    <mergeCell ref="W60:X60"/>
    <mergeCell ref="Y60:Z60"/>
    <mergeCell ref="F57:N57"/>
    <mergeCell ref="O57:V57"/>
    <mergeCell ref="W57:X57"/>
    <mergeCell ref="Y57:Z57"/>
    <mergeCell ref="F58:N58"/>
    <mergeCell ref="O58:V58"/>
    <mergeCell ref="W58:X58"/>
    <mergeCell ref="Y58:Z58"/>
    <mergeCell ref="F55:N55"/>
    <mergeCell ref="O55:V55"/>
    <mergeCell ref="W55:X55"/>
    <mergeCell ref="Y55:Z55"/>
    <mergeCell ref="F56:N56"/>
    <mergeCell ref="O56:V56"/>
    <mergeCell ref="W56:X56"/>
    <mergeCell ref="Y56:Z56"/>
    <mergeCell ref="F53:N53"/>
    <mergeCell ref="O53:V53"/>
    <mergeCell ref="W53:X53"/>
    <mergeCell ref="Y53:Z53"/>
    <mergeCell ref="F54:N54"/>
    <mergeCell ref="O54:V54"/>
    <mergeCell ref="W54:X54"/>
    <mergeCell ref="Y54:Z54"/>
    <mergeCell ref="F51:N51"/>
    <mergeCell ref="O51:V51"/>
    <mergeCell ref="W51:X51"/>
    <mergeCell ref="Y51:Z51"/>
    <mergeCell ref="F52:N52"/>
    <mergeCell ref="O52:V52"/>
    <mergeCell ref="W52:X52"/>
    <mergeCell ref="Y52:Z52"/>
    <mergeCell ref="F49:N49"/>
    <mergeCell ref="O49:V49"/>
    <mergeCell ref="W49:X49"/>
    <mergeCell ref="Y49:Z49"/>
    <mergeCell ref="F50:N50"/>
    <mergeCell ref="O50:V50"/>
    <mergeCell ref="W50:X50"/>
    <mergeCell ref="Y50:Z50"/>
    <mergeCell ref="F47:N47"/>
    <mergeCell ref="O47:V47"/>
    <mergeCell ref="W47:X47"/>
    <mergeCell ref="Y47:Z47"/>
    <mergeCell ref="F48:N48"/>
    <mergeCell ref="O48:V48"/>
    <mergeCell ref="W48:X48"/>
    <mergeCell ref="Y48:Z48"/>
    <mergeCell ref="F45:N45"/>
    <mergeCell ref="O45:V45"/>
    <mergeCell ref="W45:X45"/>
    <mergeCell ref="Y45:Z45"/>
    <mergeCell ref="F46:N46"/>
    <mergeCell ref="O46:V46"/>
    <mergeCell ref="W46:X46"/>
    <mergeCell ref="Y46:Z46"/>
    <mergeCell ref="A1:E1"/>
    <mergeCell ref="A2:AB2"/>
    <mergeCell ref="W3:Y3"/>
    <mergeCell ref="Z3:AB3"/>
    <mergeCell ref="H4:H27"/>
    <mergeCell ref="L4:L27"/>
    <mergeCell ref="R4:R27"/>
    <mergeCell ref="W4:Y4"/>
    <mergeCell ref="Z4:AB4"/>
    <mergeCell ref="W5:Y5"/>
    <mergeCell ref="Z5:AB5"/>
    <mergeCell ref="W6:Y6"/>
    <mergeCell ref="Z6:AB6"/>
    <mergeCell ref="W7:Y7"/>
    <mergeCell ref="Z7:AB7"/>
    <mergeCell ref="W8:Y8"/>
    <mergeCell ref="Z8:AB8"/>
    <mergeCell ref="W9:Y9"/>
    <mergeCell ref="Z9:AB9"/>
    <mergeCell ref="W10:Y10"/>
    <mergeCell ref="Z10:AB10"/>
    <mergeCell ref="W11:Y11"/>
    <mergeCell ref="Z11:AB11"/>
    <mergeCell ref="W12:Y12"/>
    <mergeCell ref="F42:N42"/>
    <mergeCell ref="O42:V42"/>
    <mergeCell ref="W42:X44"/>
    <mergeCell ref="Y42:Z44"/>
    <mergeCell ref="F43:N43"/>
    <mergeCell ref="O43:V43"/>
    <mergeCell ref="F44:N44"/>
    <mergeCell ref="O44:V44"/>
    <mergeCell ref="A40:F40"/>
    <mergeCell ref="E41:Z41"/>
    <mergeCell ref="Z12:AB12"/>
    <mergeCell ref="W13:Y13"/>
    <mergeCell ref="Z13:AB13"/>
    <mergeCell ref="W14:Y14"/>
    <mergeCell ref="Z14:AB14"/>
    <mergeCell ref="W15:Y15"/>
    <mergeCell ref="Z15:AB15"/>
    <mergeCell ref="W16:Y16"/>
    <mergeCell ref="Z16:AB16"/>
    <mergeCell ref="W17:Y17"/>
    <mergeCell ref="Z17:AB17"/>
    <mergeCell ref="W18:Y18"/>
    <mergeCell ref="Z18:AB18"/>
    <mergeCell ref="W19:Y19"/>
    <mergeCell ref="Z19:AB19"/>
    <mergeCell ref="W20:Y20"/>
    <mergeCell ref="Z20:AB20"/>
    <mergeCell ref="W21:Y21"/>
    <mergeCell ref="Z21:AB21"/>
    <mergeCell ref="W22:Y22"/>
    <mergeCell ref="Z22:AB22"/>
    <mergeCell ref="W23:Y23"/>
    <mergeCell ref="Z23:AB23"/>
    <mergeCell ref="W24:Y24"/>
    <mergeCell ref="Z24:AB24"/>
    <mergeCell ref="W25:Y25"/>
    <mergeCell ref="Z25:AB25"/>
    <mergeCell ref="W26:Y26"/>
    <mergeCell ref="Z26:AB26"/>
    <mergeCell ref="W27:Y27"/>
    <mergeCell ref="Z27:AB27"/>
    <mergeCell ref="W28:Y28"/>
    <mergeCell ref="A29:J30"/>
    <mergeCell ref="K29:K30"/>
    <mergeCell ref="L29:M30"/>
    <mergeCell ref="O29:W30"/>
    <mergeCell ref="X29:Y30"/>
    <mergeCell ref="Z29:AB29"/>
    <mergeCell ref="Z30:AB30"/>
    <mergeCell ref="L34:M34"/>
    <mergeCell ref="O34:W34"/>
    <mergeCell ref="X34:AB34"/>
    <mergeCell ref="L35:M35"/>
    <mergeCell ref="L36:M36"/>
    <mergeCell ref="L37:M37"/>
    <mergeCell ref="L38:M38"/>
    <mergeCell ref="A31:J31"/>
    <mergeCell ref="L31:M31"/>
    <mergeCell ref="O31:W31"/>
    <mergeCell ref="X31:AB31"/>
    <mergeCell ref="L32:M32"/>
    <mergeCell ref="O32:W32"/>
    <mergeCell ref="X32:AB32"/>
    <mergeCell ref="L33:M33"/>
    <mergeCell ref="O33:W33"/>
    <mergeCell ref="X33:AB33"/>
  </mergeCells>
  <pageMargins left="0.511811024" right="0.511811024" top="0.78740157499999996" bottom="0.78740157499999996" header="0.31496062000000002" footer="0.31496062000000002"/>
  <pageSetup paperSize="9" orientation="landscape" r:id="rId1"/>
  <ignoredErrors>
    <ignoredError sqref="E57 A1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86"/>
  <sheetViews>
    <sheetView workbookViewId="0">
      <selection sqref="A1:F3"/>
    </sheetView>
  </sheetViews>
  <sheetFormatPr defaultRowHeight="15" x14ac:dyDescent="0.25"/>
  <cols>
    <col min="1" max="1" width="6.5703125" style="60" customWidth="1"/>
    <col min="2" max="2" width="17.140625" style="60" customWidth="1"/>
    <col min="3" max="3" width="16.5703125" customWidth="1"/>
    <col min="4" max="4" width="16.7109375" customWidth="1"/>
    <col min="5" max="5" width="14.42578125" customWidth="1"/>
    <col min="6" max="6" width="16.7109375" customWidth="1"/>
    <col min="7" max="7" width="1.7109375" customWidth="1"/>
  </cols>
  <sheetData>
    <row r="1" spans="1:6" ht="20.100000000000001" customHeight="1" x14ac:dyDescent="0.25">
      <c r="A1" s="501" t="s">
        <v>504</v>
      </c>
      <c r="B1" s="501"/>
      <c r="C1" s="501"/>
      <c r="D1" s="501"/>
      <c r="E1" s="501"/>
      <c r="F1" s="504">
        <f>(C44+D82+D122+C162+C203+D246+D289+D330+D370+D410+D448+D486)/12</f>
        <v>0.41066562582542909</v>
      </c>
    </row>
    <row r="2" spans="1:6" ht="20.100000000000001" customHeight="1" x14ac:dyDescent="0.25">
      <c r="A2" s="502"/>
      <c r="B2" s="502"/>
      <c r="C2" s="502"/>
      <c r="D2" s="502"/>
      <c r="E2" s="502"/>
      <c r="F2" s="502"/>
    </row>
    <row r="3" spans="1:6" ht="20.100000000000001" customHeight="1" x14ac:dyDescent="0.25">
      <c r="A3" s="503"/>
      <c r="B3" s="503"/>
      <c r="C3" s="503"/>
      <c r="D3" s="503"/>
      <c r="E3" s="503"/>
      <c r="F3" s="503"/>
    </row>
    <row r="4" spans="1:6" ht="5.0999999999999996" customHeight="1" x14ac:dyDescent="0.25"/>
    <row r="5" spans="1:6" x14ac:dyDescent="0.25">
      <c r="A5" s="490" t="s">
        <v>463</v>
      </c>
      <c r="B5" s="491"/>
      <c r="C5" s="491"/>
      <c r="D5" s="491"/>
      <c r="E5" s="491"/>
    </row>
    <row r="6" spans="1:6" ht="45" x14ac:dyDescent="0.25">
      <c r="A6" s="60" t="s">
        <v>246</v>
      </c>
      <c r="B6" s="59" t="s">
        <v>337</v>
      </c>
      <c r="C6" s="123" t="s">
        <v>184</v>
      </c>
      <c r="D6" s="123" t="s">
        <v>191</v>
      </c>
      <c r="E6" s="123" t="s">
        <v>190</v>
      </c>
    </row>
    <row r="7" spans="1:6" x14ac:dyDescent="0.25">
      <c r="A7" s="60">
        <v>1</v>
      </c>
      <c r="B7" s="210" t="s">
        <v>464</v>
      </c>
      <c r="C7" s="211">
        <f>E7/D7</f>
        <v>2.4296862841007627</v>
      </c>
      <c r="D7" s="70">
        <v>2248.85</v>
      </c>
      <c r="E7" s="71">
        <v>5464</v>
      </c>
    </row>
    <row r="8" spans="1:6" x14ac:dyDescent="0.25">
      <c r="A8" s="60">
        <v>2</v>
      </c>
      <c r="B8" s="212" t="s">
        <v>465</v>
      </c>
      <c r="C8" s="211">
        <f>E8/D8</f>
        <v>2.1742317046538968</v>
      </c>
      <c r="D8" s="72">
        <v>3342.79</v>
      </c>
      <c r="E8" s="73">
        <v>7268</v>
      </c>
    </row>
    <row r="9" spans="1:6" x14ac:dyDescent="0.25">
      <c r="A9" s="60">
        <v>3</v>
      </c>
      <c r="B9" s="212" t="s">
        <v>466</v>
      </c>
      <c r="C9" s="211">
        <f t="shared" ref="C9:C41" si="0">E9/D9</f>
        <v>2.2532589381262165</v>
      </c>
      <c r="D9" s="72">
        <v>2009.09</v>
      </c>
      <c r="E9" s="73">
        <v>4527</v>
      </c>
    </row>
    <row r="10" spans="1:6" x14ac:dyDescent="0.25">
      <c r="A10" s="60">
        <v>4</v>
      </c>
      <c r="B10" s="212" t="s">
        <v>467</v>
      </c>
      <c r="C10" s="211">
        <f t="shared" si="0"/>
        <v>2.4044984546358474</v>
      </c>
      <c r="D10" s="72">
        <v>2041.59</v>
      </c>
      <c r="E10" s="73">
        <v>4909</v>
      </c>
    </row>
    <row r="11" spans="1:6" x14ac:dyDescent="0.25">
      <c r="A11" s="60">
        <v>5</v>
      </c>
      <c r="B11" s="212" t="s">
        <v>468</v>
      </c>
      <c r="C11" s="211">
        <f t="shared" si="0"/>
        <v>2.0231409432302594</v>
      </c>
      <c r="D11" s="72">
        <v>1921.27</v>
      </c>
      <c r="E11" s="73">
        <v>3887</v>
      </c>
    </row>
    <row r="12" spans="1:6" x14ac:dyDescent="0.25">
      <c r="A12" s="60">
        <v>6</v>
      </c>
      <c r="B12" s="212" t="s">
        <v>469</v>
      </c>
      <c r="C12" s="211">
        <f t="shared" si="0"/>
        <v>2.0301193037355758</v>
      </c>
      <c r="D12" s="72">
        <v>2556.5</v>
      </c>
      <c r="E12" s="73">
        <v>5190</v>
      </c>
    </row>
    <row r="13" spans="1:6" x14ac:dyDescent="0.25">
      <c r="A13" s="60">
        <v>7</v>
      </c>
      <c r="B13" s="212" t="s">
        <v>470</v>
      </c>
      <c r="C13" s="211">
        <f t="shared" si="0"/>
        <v>2.3515525362782252</v>
      </c>
      <c r="D13" s="72">
        <v>2736.49</v>
      </c>
      <c r="E13" s="73">
        <v>6435</v>
      </c>
    </row>
    <row r="14" spans="1:6" x14ac:dyDescent="0.25">
      <c r="A14" s="60">
        <v>8</v>
      </c>
      <c r="B14" s="212" t="s">
        <v>472</v>
      </c>
      <c r="C14" s="211">
        <f t="shared" si="0"/>
        <v>2.3096409959467286</v>
      </c>
      <c r="D14" s="72">
        <v>2763.2</v>
      </c>
      <c r="E14" s="73">
        <v>6382</v>
      </c>
    </row>
    <row r="15" spans="1:6" x14ac:dyDescent="0.25">
      <c r="A15" s="60">
        <v>9</v>
      </c>
      <c r="B15" s="212" t="s">
        <v>473</v>
      </c>
      <c r="C15" s="211">
        <f t="shared" si="0"/>
        <v>2.3220239262600511</v>
      </c>
      <c r="D15" s="72">
        <v>2549.5</v>
      </c>
      <c r="E15" s="73">
        <v>5920</v>
      </c>
    </row>
    <row r="16" spans="1:6" x14ac:dyDescent="0.25">
      <c r="A16" s="60">
        <v>10</v>
      </c>
      <c r="B16" s="212" t="s">
        <v>474</v>
      </c>
      <c r="C16" s="211">
        <f t="shared" si="0"/>
        <v>1.7266328296563458</v>
      </c>
      <c r="D16" s="72">
        <v>2750.44</v>
      </c>
      <c r="E16" s="73">
        <v>4749</v>
      </c>
    </row>
    <row r="17" spans="1:5" x14ac:dyDescent="0.25">
      <c r="A17" s="60">
        <v>11</v>
      </c>
      <c r="B17" s="212" t="s">
        <v>475</v>
      </c>
      <c r="C17" s="211">
        <f t="shared" si="0"/>
        <v>2.4877209447833568</v>
      </c>
      <c r="D17" s="72">
        <v>1598.25</v>
      </c>
      <c r="E17" s="73">
        <v>3976</v>
      </c>
    </row>
    <row r="18" spans="1:5" x14ac:dyDescent="0.25">
      <c r="A18" s="60">
        <v>12</v>
      </c>
      <c r="B18" s="212" t="s">
        <v>476</v>
      </c>
      <c r="C18" s="211">
        <f t="shared" si="0"/>
        <v>2.3257624630169289</v>
      </c>
      <c r="D18" s="72">
        <v>2697.18</v>
      </c>
      <c r="E18" s="73">
        <v>6273</v>
      </c>
    </row>
    <row r="19" spans="1:5" x14ac:dyDescent="0.25">
      <c r="A19" s="60">
        <v>13</v>
      </c>
      <c r="B19" s="212" t="s">
        <v>477</v>
      </c>
      <c r="C19" s="211">
        <f t="shared" si="0"/>
        <v>2.2038439017312585</v>
      </c>
      <c r="D19" s="72">
        <v>1929.81</v>
      </c>
      <c r="E19" s="73">
        <v>4253</v>
      </c>
    </row>
    <row r="20" spans="1:5" x14ac:dyDescent="0.25">
      <c r="A20" s="60">
        <v>14</v>
      </c>
      <c r="B20" s="212" t="s">
        <v>478</v>
      </c>
      <c r="C20" s="211">
        <f t="shared" si="0"/>
        <v>2.2831473520357517</v>
      </c>
      <c r="D20" s="72">
        <v>2588.9699999999998</v>
      </c>
      <c r="E20" s="73">
        <v>5911</v>
      </c>
    </row>
    <row r="21" spans="1:5" x14ac:dyDescent="0.25">
      <c r="A21" s="60">
        <v>15</v>
      </c>
      <c r="B21" s="212" t="s">
        <v>479</v>
      </c>
      <c r="C21" s="211">
        <f t="shared" si="0"/>
        <v>2.4996808799942283</v>
      </c>
      <c r="D21" s="72">
        <v>1801.83</v>
      </c>
      <c r="E21" s="73">
        <v>4504</v>
      </c>
    </row>
    <row r="22" spans="1:5" x14ac:dyDescent="0.25">
      <c r="A22" s="60">
        <v>16</v>
      </c>
      <c r="B22" s="212" t="s">
        <v>480</v>
      </c>
      <c r="C22" s="211">
        <f t="shared" si="0"/>
        <v>2.7065922122699844</v>
      </c>
      <c r="D22" s="72">
        <v>2668.3</v>
      </c>
      <c r="E22" s="73">
        <v>7222</v>
      </c>
    </row>
    <row r="23" spans="1:5" x14ac:dyDescent="0.25">
      <c r="A23" s="60">
        <v>17</v>
      </c>
      <c r="B23" s="212" t="s">
        <v>338</v>
      </c>
      <c r="C23" s="211">
        <f t="shared" si="0"/>
        <v>1.9373863918712158</v>
      </c>
      <c r="D23" s="72">
        <v>3058.76</v>
      </c>
      <c r="E23" s="73">
        <v>5926</v>
      </c>
    </row>
    <row r="24" spans="1:5" x14ac:dyDescent="0.25">
      <c r="A24" s="60">
        <v>18</v>
      </c>
      <c r="B24" s="212" t="s">
        <v>481</v>
      </c>
      <c r="C24" s="211">
        <f t="shared" si="0"/>
        <v>3.0125291406308214</v>
      </c>
      <c r="D24" s="72">
        <v>1878.82</v>
      </c>
      <c r="E24" s="73">
        <v>5660</v>
      </c>
    </row>
    <row r="25" spans="1:5" x14ac:dyDescent="0.25">
      <c r="A25" s="60">
        <v>19</v>
      </c>
      <c r="B25" s="212" t="s">
        <v>482</v>
      </c>
      <c r="C25" s="211">
        <f t="shared" si="0"/>
        <v>2.3004080375702518</v>
      </c>
      <c r="D25" s="72">
        <v>2597.8000000000002</v>
      </c>
      <c r="E25" s="73">
        <v>5976</v>
      </c>
    </row>
    <row r="26" spans="1:5" x14ac:dyDescent="0.25">
      <c r="A26" s="60">
        <v>20</v>
      </c>
      <c r="B26" s="212" t="s">
        <v>483</v>
      </c>
      <c r="C26" s="211">
        <f t="shared" si="0"/>
        <v>2.1898484661820872</v>
      </c>
      <c r="D26" s="72">
        <v>2922.12</v>
      </c>
      <c r="E26" s="73">
        <v>6399</v>
      </c>
    </row>
    <row r="27" spans="1:5" x14ac:dyDescent="0.25">
      <c r="A27" s="60">
        <v>21</v>
      </c>
      <c r="B27" s="212" t="s">
        <v>339</v>
      </c>
      <c r="C27" s="211">
        <f t="shared" si="0"/>
        <v>1.9455969599441623</v>
      </c>
      <c r="D27" s="72">
        <v>1031.56</v>
      </c>
      <c r="E27" s="73">
        <v>2007</v>
      </c>
    </row>
    <row r="28" spans="1:5" x14ac:dyDescent="0.25">
      <c r="A28" s="60">
        <v>22</v>
      </c>
      <c r="B28" s="212" t="s">
        <v>340</v>
      </c>
      <c r="C28" s="211">
        <f t="shared" si="0"/>
        <v>1.6176660775100229</v>
      </c>
      <c r="D28" s="72">
        <v>927.88</v>
      </c>
      <c r="E28" s="73">
        <v>1501</v>
      </c>
    </row>
    <row r="29" spans="1:5" x14ac:dyDescent="0.25">
      <c r="A29" s="60">
        <v>23</v>
      </c>
      <c r="B29" s="212" t="s">
        <v>341</v>
      </c>
      <c r="C29" s="211">
        <f t="shared" si="0"/>
        <v>2.2196796338672771</v>
      </c>
      <c r="D29" s="72">
        <v>2534.6</v>
      </c>
      <c r="E29" s="73">
        <v>5626</v>
      </c>
    </row>
    <row r="30" spans="1:5" x14ac:dyDescent="0.25">
      <c r="A30" s="60">
        <v>24</v>
      </c>
      <c r="B30" s="212" t="s">
        <v>342</v>
      </c>
      <c r="C30" s="211">
        <f t="shared" si="0"/>
        <v>2.1773286094011826</v>
      </c>
      <c r="D30" s="72">
        <v>2870.49</v>
      </c>
      <c r="E30" s="73">
        <v>6250</v>
      </c>
    </row>
    <row r="31" spans="1:5" x14ac:dyDescent="0.25">
      <c r="A31" s="60">
        <v>25</v>
      </c>
      <c r="B31" s="213" t="s">
        <v>343</v>
      </c>
      <c r="C31" s="211">
        <f t="shared" si="0"/>
        <v>1.6453406400468196</v>
      </c>
      <c r="D31" s="74">
        <v>751.82</v>
      </c>
      <c r="E31" s="75">
        <v>1237</v>
      </c>
    </row>
    <row r="32" spans="1:5" x14ac:dyDescent="0.25">
      <c r="A32" s="60">
        <v>26</v>
      </c>
      <c r="B32" s="213" t="s">
        <v>344</v>
      </c>
      <c r="C32" s="211">
        <f t="shared" si="0"/>
        <v>2.5918074788019276</v>
      </c>
      <c r="D32" s="74">
        <v>2622.88</v>
      </c>
      <c r="E32" s="75">
        <v>6798</v>
      </c>
    </row>
    <row r="33" spans="1:6" x14ac:dyDescent="0.25">
      <c r="A33" s="60">
        <v>27</v>
      </c>
      <c r="B33" s="213" t="s">
        <v>399</v>
      </c>
      <c r="C33" s="211">
        <f t="shared" si="0"/>
        <v>1.8555728696793241</v>
      </c>
      <c r="D33" s="74">
        <v>975.44</v>
      </c>
      <c r="E33" s="75">
        <v>1810</v>
      </c>
    </row>
    <row r="34" spans="1:6" x14ac:dyDescent="0.25">
      <c r="A34" s="60">
        <v>28</v>
      </c>
      <c r="B34" s="213" t="s">
        <v>345</v>
      </c>
      <c r="C34" s="211">
        <f t="shared" si="0"/>
        <v>2.3809886820452615</v>
      </c>
      <c r="D34" s="74">
        <v>1967.67</v>
      </c>
      <c r="E34" s="75">
        <v>4685</v>
      </c>
    </row>
    <row r="35" spans="1:6" x14ac:dyDescent="0.25">
      <c r="A35" s="60">
        <v>29</v>
      </c>
      <c r="B35" s="213" t="s">
        <v>346</v>
      </c>
      <c r="C35" s="211">
        <f t="shared" si="0"/>
        <v>2.4897030540971996</v>
      </c>
      <c r="D35" s="74">
        <v>2386.63</v>
      </c>
      <c r="E35" s="75">
        <v>5942</v>
      </c>
    </row>
    <row r="36" spans="1:6" x14ac:dyDescent="0.25">
      <c r="A36" s="60">
        <v>30</v>
      </c>
      <c r="B36" s="212" t="s">
        <v>347</v>
      </c>
      <c r="C36" s="211">
        <f t="shared" si="0"/>
        <v>3.1582504223765722</v>
      </c>
      <c r="D36" s="72">
        <v>2663.5</v>
      </c>
      <c r="E36" s="73">
        <v>8412</v>
      </c>
    </row>
    <row r="37" spans="1:6" x14ac:dyDescent="0.25">
      <c r="A37" s="60">
        <v>31</v>
      </c>
      <c r="B37" s="213" t="s">
        <v>348</v>
      </c>
      <c r="C37" s="211">
        <f t="shared" si="0"/>
        <v>3.1871116005932096</v>
      </c>
      <c r="D37" s="72">
        <v>2515.13</v>
      </c>
      <c r="E37" s="73">
        <v>8016</v>
      </c>
    </row>
    <row r="38" spans="1:6" x14ac:dyDescent="0.25">
      <c r="A38" s="60">
        <v>32</v>
      </c>
      <c r="B38" s="213" t="s">
        <v>349</v>
      </c>
      <c r="C38" s="211">
        <f t="shared" si="0"/>
        <v>2.7177475107515781</v>
      </c>
      <c r="D38" s="72">
        <v>2227.58</v>
      </c>
      <c r="E38" s="73">
        <v>6054</v>
      </c>
    </row>
    <row r="39" spans="1:6" x14ac:dyDescent="0.25">
      <c r="A39" s="60">
        <v>33</v>
      </c>
      <c r="B39" s="213" t="s">
        <v>350</v>
      </c>
      <c r="C39" s="211">
        <f t="shared" si="0"/>
        <v>2.9096288990260137</v>
      </c>
      <c r="D39" s="72">
        <v>2108.86</v>
      </c>
      <c r="E39" s="73">
        <v>6136</v>
      </c>
    </row>
    <row r="40" spans="1:6" x14ac:dyDescent="0.25">
      <c r="A40" s="60">
        <v>34</v>
      </c>
      <c r="B40" s="213" t="s">
        <v>351</v>
      </c>
      <c r="C40" s="211">
        <f t="shared" si="0"/>
        <v>2.7733551922905142</v>
      </c>
      <c r="D40" s="72">
        <v>1903.11</v>
      </c>
      <c r="E40" s="73">
        <v>5278</v>
      </c>
    </row>
    <row r="41" spans="1:6" x14ac:dyDescent="0.25">
      <c r="A41" s="60">
        <v>35</v>
      </c>
      <c r="B41" s="213" t="s">
        <v>484</v>
      </c>
      <c r="C41" s="211">
        <f t="shared" si="0"/>
        <v>2.4169718498027444</v>
      </c>
      <c r="D41" s="215">
        <v>2544.92</v>
      </c>
      <c r="E41" s="216">
        <v>6151</v>
      </c>
    </row>
    <row r="42" spans="1:6" x14ac:dyDescent="0.25">
      <c r="B42" s="217" t="s">
        <v>185</v>
      </c>
      <c r="C42" s="61">
        <f>SUM(C7:C41)</f>
        <v>82.05845518694359</v>
      </c>
    </row>
    <row r="43" spans="1:6" ht="30" customHeight="1" x14ac:dyDescent="0.25">
      <c r="B43" s="217" t="s">
        <v>186</v>
      </c>
      <c r="C43" s="69">
        <f>C42/35</f>
        <v>2.344527291055531</v>
      </c>
      <c r="D43" s="499" t="s">
        <v>247</v>
      </c>
      <c r="E43" s="500"/>
      <c r="F43" s="500"/>
    </row>
    <row r="44" spans="1:6" ht="45" x14ac:dyDescent="0.25">
      <c r="B44" s="218" t="s">
        <v>187</v>
      </c>
      <c r="C44" s="223">
        <f>1/C43</f>
        <v>0.42652521206088817</v>
      </c>
    </row>
    <row r="45" spans="1:6" ht="5.0999999999999996" customHeight="1" x14ac:dyDescent="0.25">
      <c r="B45" s="505"/>
      <c r="C45" s="505"/>
      <c r="D45" s="505"/>
      <c r="E45" s="505"/>
    </row>
    <row r="46" spans="1:6" x14ac:dyDescent="0.25">
      <c r="A46" s="490" t="s">
        <v>485</v>
      </c>
      <c r="B46" s="491"/>
      <c r="C46" s="491"/>
      <c r="D46" s="491"/>
      <c r="E46" s="492"/>
    </row>
    <row r="47" spans="1:6" ht="45" x14ac:dyDescent="0.25">
      <c r="A47" s="60" t="s">
        <v>246</v>
      </c>
      <c r="B47" s="220" t="s">
        <v>337</v>
      </c>
      <c r="C47" s="221" t="s">
        <v>184</v>
      </c>
      <c r="D47" s="221" t="s">
        <v>191</v>
      </c>
      <c r="E47" s="221" t="s">
        <v>190</v>
      </c>
    </row>
    <row r="48" spans="1:6" x14ac:dyDescent="0.25">
      <c r="A48" s="60">
        <v>1</v>
      </c>
      <c r="B48" s="210" t="s">
        <v>486</v>
      </c>
      <c r="C48" s="211">
        <f t="shared" ref="C48:C79" si="1">E48/D48</f>
        <v>1.4940510055161156</v>
      </c>
      <c r="D48" s="70">
        <v>404.27</v>
      </c>
      <c r="E48" s="71">
        <v>604</v>
      </c>
    </row>
    <row r="49" spans="1:5" x14ac:dyDescent="0.25">
      <c r="A49" s="60">
        <v>2</v>
      </c>
      <c r="B49" s="212" t="s">
        <v>465</v>
      </c>
      <c r="C49" s="211">
        <f t="shared" si="1"/>
        <v>2.3533467266648378</v>
      </c>
      <c r="D49" s="72">
        <v>2697.86</v>
      </c>
      <c r="E49" s="73">
        <v>6349</v>
      </c>
    </row>
    <row r="50" spans="1:5" x14ac:dyDescent="0.25">
      <c r="A50" s="60">
        <v>3</v>
      </c>
      <c r="B50" s="212" t="s">
        <v>467</v>
      </c>
      <c r="C50" s="211">
        <f t="shared" si="1"/>
        <v>2.4195842033338653</v>
      </c>
      <c r="D50" s="72">
        <v>1441.57</v>
      </c>
      <c r="E50" s="73">
        <v>3488</v>
      </c>
    </row>
    <row r="51" spans="1:5" x14ac:dyDescent="0.25">
      <c r="A51" s="60">
        <v>4</v>
      </c>
      <c r="B51" s="212" t="s">
        <v>468</v>
      </c>
      <c r="C51" s="211">
        <f t="shared" si="1"/>
        <v>2.4475957982582521</v>
      </c>
      <c r="D51" s="72">
        <v>2339.0300000000002</v>
      </c>
      <c r="E51" s="73">
        <v>5725</v>
      </c>
    </row>
    <row r="52" spans="1:5" x14ac:dyDescent="0.25">
      <c r="A52" s="60">
        <v>5</v>
      </c>
      <c r="B52" s="212" t="s">
        <v>469</v>
      </c>
      <c r="C52" s="211">
        <f t="shared" si="1"/>
        <v>2.155495872664797</v>
      </c>
      <c r="D52" s="72">
        <v>2025.52</v>
      </c>
      <c r="E52" s="73">
        <v>4366</v>
      </c>
    </row>
    <row r="53" spans="1:5" x14ac:dyDescent="0.25">
      <c r="A53" s="60">
        <v>6</v>
      </c>
      <c r="B53" s="212" t="s">
        <v>470</v>
      </c>
      <c r="C53" s="211">
        <f t="shared" si="1"/>
        <v>2.7364085155708269</v>
      </c>
      <c r="D53" s="72">
        <v>1932.46</v>
      </c>
      <c r="E53" s="73">
        <v>5288</v>
      </c>
    </row>
    <row r="54" spans="1:5" x14ac:dyDescent="0.25">
      <c r="A54" s="60">
        <v>7</v>
      </c>
      <c r="B54" s="212" t="s">
        <v>472</v>
      </c>
      <c r="C54" s="211">
        <f t="shared" si="1"/>
        <v>2.4484671880655551</v>
      </c>
      <c r="D54" s="72">
        <v>2182.59</v>
      </c>
      <c r="E54" s="73">
        <v>5344</v>
      </c>
    </row>
    <row r="55" spans="1:5" x14ac:dyDescent="0.25">
      <c r="A55" s="60">
        <v>8</v>
      </c>
      <c r="B55" s="212" t="s">
        <v>473</v>
      </c>
      <c r="C55" s="211">
        <f t="shared" si="1"/>
        <v>2.425242841724335</v>
      </c>
      <c r="D55" s="72">
        <v>2362.65</v>
      </c>
      <c r="E55" s="73">
        <v>5730</v>
      </c>
    </row>
    <row r="56" spans="1:5" x14ac:dyDescent="0.25">
      <c r="A56" s="60">
        <v>9</v>
      </c>
      <c r="B56" s="212" t="s">
        <v>474</v>
      </c>
      <c r="C56" s="211">
        <f t="shared" si="1"/>
        <v>1.8889357979448029</v>
      </c>
      <c r="D56" s="72">
        <v>2297.59</v>
      </c>
      <c r="E56" s="73">
        <v>4340</v>
      </c>
    </row>
    <row r="57" spans="1:5" x14ac:dyDescent="0.25">
      <c r="A57" s="60">
        <v>10</v>
      </c>
      <c r="B57" s="212" t="s">
        <v>476</v>
      </c>
      <c r="C57" s="211">
        <f t="shared" si="1"/>
        <v>2.3100946640580378</v>
      </c>
      <c r="D57" s="72">
        <v>2468.73</v>
      </c>
      <c r="E57" s="73">
        <v>5703</v>
      </c>
    </row>
    <row r="58" spans="1:5" x14ac:dyDescent="0.25">
      <c r="A58" s="60">
        <v>11</v>
      </c>
      <c r="B58" s="212" t="s">
        <v>477</v>
      </c>
      <c r="C58" s="211">
        <f t="shared" si="1"/>
        <v>2.2793808208149597</v>
      </c>
      <c r="D58" s="72">
        <v>2186.12</v>
      </c>
      <c r="E58" s="73">
        <v>4983</v>
      </c>
    </row>
    <row r="59" spans="1:5" x14ac:dyDescent="0.25">
      <c r="A59" s="60">
        <v>12</v>
      </c>
      <c r="B59" s="212" t="s">
        <v>478</v>
      </c>
      <c r="C59" s="211">
        <f t="shared" si="1"/>
        <v>2.2277771209485362</v>
      </c>
      <c r="D59" s="72">
        <f>124.21+2244.07</f>
        <v>2368.2800000000002</v>
      </c>
      <c r="E59" s="73">
        <f>307+4969</f>
        <v>5276</v>
      </c>
    </row>
    <row r="60" spans="1:5" x14ac:dyDescent="0.25">
      <c r="A60" s="60">
        <v>13</v>
      </c>
      <c r="B60" s="212" t="s">
        <v>355</v>
      </c>
      <c r="C60" s="211">
        <f t="shared" si="1"/>
        <v>2.8182145461594561</v>
      </c>
      <c r="D60" s="72">
        <v>2166.62</v>
      </c>
      <c r="E60" s="73">
        <v>6106</v>
      </c>
    </row>
    <row r="61" spans="1:5" x14ac:dyDescent="0.25">
      <c r="A61" s="60">
        <v>14</v>
      </c>
      <c r="B61" s="212" t="s">
        <v>338</v>
      </c>
      <c r="C61" s="211">
        <f t="shared" si="1"/>
        <v>2.0146401942967782</v>
      </c>
      <c r="D61" s="72">
        <v>2943.95</v>
      </c>
      <c r="E61" s="73">
        <v>5931</v>
      </c>
    </row>
    <row r="62" spans="1:5" x14ac:dyDescent="0.25">
      <c r="A62" s="60">
        <v>15</v>
      </c>
      <c r="B62" s="212" t="s">
        <v>481</v>
      </c>
      <c r="C62" s="211">
        <f t="shared" si="1"/>
        <v>3.1588646515634076</v>
      </c>
      <c r="D62" s="72">
        <v>1497.69</v>
      </c>
      <c r="E62" s="73">
        <v>4731</v>
      </c>
    </row>
    <row r="63" spans="1:5" x14ac:dyDescent="0.25">
      <c r="A63" s="60">
        <v>16</v>
      </c>
      <c r="B63" s="212" t="s">
        <v>482</v>
      </c>
      <c r="C63" s="211">
        <f t="shared" si="1"/>
        <v>2.3082001656009599</v>
      </c>
      <c r="D63" s="72">
        <v>2741.53</v>
      </c>
      <c r="E63" s="73">
        <v>6328</v>
      </c>
    </row>
    <row r="64" spans="1:5" x14ac:dyDescent="0.25">
      <c r="A64" s="60">
        <v>17</v>
      </c>
      <c r="B64" s="212" t="s">
        <v>483</v>
      </c>
      <c r="C64" s="211">
        <f t="shared" si="1"/>
        <v>2.2745053681343022</v>
      </c>
      <c r="D64" s="72">
        <v>2121.7800000000002</v>
      </c>
      <c r="E64" s="73">
        <v>4826</v>
      </c>
    </row>
    <row r="65" spans="1:5" x14ac:dyDescent="0.25">
      <c r="A65" s="60">
        <v>18</v>
      </c>
      <c r="B65" s="212" t="s">
        <v>339</v>
      </c>
      <c r="C65" s="211">
        <f t="shared" si="1"/>
        <v>2.7561567653192629</v>
      </c>
      <c r="D65" s="72">
        <v>1754.98</v>
      </c>
      <c r="E65" s="73">
        <v>4837</v>
      </c>
    </row>
    <row r="66" spans="1:5" x14ac:dyDescent="0.25">
      <c r="A66" s="60">
        <v>19</v>
      </c>
      <c r="B66" s="212" t="s">
        <v>340</v>
      </c>
      <c r="C66" s="211">
        <f t="shared" si="1"/>
        <v>2.34306933951853</v>
      </c>
      <c r="D66" s="72">
        <v>2582.5100000000002</v>
      </c>
      <c r="E66" s="73">
        <v>6051</v>
      </c>
    </row>
    <row r="67" spans="1:5" x14ac:dyDescent="0.25">
      <c r="A67" s="60">
        <v>20</v>
      </c>
      <c r="B67" s="212" t="s">
        <v>341</v>
      </c>
      <c r="C67" s="211">
        <f t="shared" si="1"/>
        <v>2.3552245069240452</v>
      </c>
      <c r="D67" s="72">
        <v>2668.96</v>
      </c>
      <c r="E67" s="73">
        <v>6286</v>
      </c>
    </row>
    <row r="68" spans="1:5" x14ac:dyDescent="0.25">
      <c r="A68" s="60">
        <v>21</v>
      </c>
      <c r="B68" s="212" t="s">
        <v>342</v>
      </c>
      <c r="C68" s="211">
        <f t="shared" si="1"/>
        <v>2.2956720792978866</v>
      </c>
      <c r="D68" s="72">
        <v>2289.09</v>
      </c>
      <c r="E68" s="73">
        <v>5255</v>
      </c>
    </row>
    <row r="69" spans="1:5" x14ac:dyDescent="0.25">
      <c r="A69" s="60">
        <v>22</v>
      </c>
      <c r="B69" s="212" t="s">
        <v>343</v>
      </c>
      <c r="C69" s="211">
        <f t="shared" si="1"/>
        <v>2.2334328453519374</v>
      </c>
      <c r="D69" s="72">
        <v>1879.17</v>
      </c>
      <c r="E69" s="73">
        <v>4197</v>
      </c>
    </row>
    <row r="70" spans="1:5" x14ac:dyDescent="0.25">
      <c r="A70" s="60">
        <v>23</v>
      </c>
      <c r="B70" s="212" t="s">
        <v>344</v>
      </c>
      <c r="C70" s="211">
        <f t="shared" si="1"/>
        <v>2.4206572540191353</v>
      </c>
      <c r="D70" s="72">
        <v>1634.68</v>
      </c>
      <c r="E70" s="73">
        <v>3957</v>
      </c>
    </row>
    <row r="71" spans="1:5" x14ac:dyDescent="0.25">
      <c r="A71" s="60">
        <v>24</v>
      </c>
      <c r="B71" s="212" t="s">
        <v>399</v>
      </c>
      <c r="C71" s="211">
        <f t="shared" si="1"/>
        <v>2.0906498776550211</v>
      </c>
      <c r="D71" s="72">
        <v>2967.02</v>
      </c>
      <c r="E71" s="73">
        <v>6203</v>
      </c>
    </row>
    <row r="72" spans="1:5" x14ac:dyDescent="0.25">
      <c r="A72" s="60">
        <v>25</v>
      </c>
      <c r="B72" s="212" t="s">
        <v>345</v>
      </c>
      <c r="C72" s="211">
        <f t="shared" si="1"/>
        <v>2.7709879462687361</v>
      </c>
      <c r="D72" s="72">
        <v>2262.37</v>
      </c>
      <c r="E72" s="73">
        <v>6269</v>
      </c>
    </row>
    <row r="73" spans="1:5" x14ac:dyDescent="0.25">
      <c r="A73" s="60">
        <v>26</v>
      </c>
      <c r="B73" s="213" t="s">
        <v>346</v>
      </c>
      <c r="C73" s="211">
        <f t="shared" si="1"/>
        <v>2.465746306144013</v>
      </c>
      <c r="D73" s="74">
        <v>2309.2399999999998</v>
      </c>
      <c r="E73" s="75">
        <v>5694</v>
      </c>
    </row>
    <row r="74" spans="1:5" x14ac:dyDescent="0.25">
      <c r="A74" s="60">
        <v>27</v>
      </c>
      <c r="B74" s="213" t="s">
        <v>347</v>
      </c>
      <c r="C74" s="211">
        <f t="shared" si="1"/>
        <v>3.0812259534570994</v>
      </c>
      <c r="D74" s="74">
        <v>2141.6799999999998</v>
      </c>
      <c r="E74" s="75">
        <v>6599</v>
      </c>
    </row>
    <row r="75" spans="1:5" x14ac:dyDescent="0.25">
      <c r="A75" s="60">
        <v>28</v>
      </c>
      <c r="B75" s="213" t="s">
        <v>348</v>
      </c>
      <c r="C75" s="211">
        <f t="shared" si="1"/>
        <v>3.0957340161954674</v>
      </c>
      <c r="D75" s="74">
        <v>1925.23</v>
      </c>
      <c r="E75" s="75">
        <v>5960</v>
      </c>
    </row>
    <row r="76" spans="1:5" x14ac:dyDescent="0.25">
      <c r="A76" s="60">
        <v>29</v>
      </c>
      <c r="B76" s="213" t="s">
        <v>349</v>
      </c>
      <c r="C76" s="211">
        <f t="shared" si="1"/>
        <v>2.8103260083376074</v>
      </c>
      <c r="D76" s="74">
        <v>2281.23</v>
      </c>
      <c r="E76" s="75">
        <v>6411</v>
      </c>
    </row>
    <row r="77" spans="1:5" x14ac:dyDescent="0.25">
      <c r="A77" s="60">
        <v>30</v>
      </c>
      <c r="B77" s="213" t="s">
        <v>350</v>
      </c>
      <c r="C77" s="211">
        <f t="shared" si="1"/>
        <v>3.0158996752883214</v>
      </c>
      <c r="D77" s="74">
        <v>1786.2</v>
      </c>
      <c r="E77" s="75">
        <v>5387</v>
      </c>
    </row>
    <row r="78" spans="1:5" x14ac:dyDescent="0.25">
      <c r="A78" s="60">
        <v>31</v>
      </c>
      <c r="B78" s="213" t="s">
        <v>351</v>
      </c>
      <c r="C78" s="211">
        <f t="shared" si="1"/>
        <v>3.0497199463809954</v>
      </c>
      <c r="D78" s="72">
        <v>1797.87</v>
      </c>
      <c r="E78" s="73">
        <v>5483</v>
      </c>
    </row>
    <row r="79" spans="1:5" x14ac:dyDescent="0.25">
      <c r="A79" s="214">
        <v>32</v>
      </c>
      <c r="B79" s="213" t="s">
        <v>484</v>
      </c>
      <c r="C79" s="211">
        <f t="shared" si="1"/>
        <v>2.5435464225010302</v>
      </c>
      <c r="D79" s="215">
        <v>2159.19</v>
      </c>
      <c r="E79" s="216">
        <v>5492</v>
      </c>
    </row>
    <row r="80" spans="1:5" x14ac:dyDescent="0.25">
      <c r="B80" s="217" t="s">
        <v>185</v>
      </c>
      <c r="C80" s="61">
        <f>SUM(C48:C79)</f>
        <v>79.088854423978887</v>
      </c>
    </row>
    <row r="81" spans="1:9" ht="30" customHeight="1" x14ac:dyDescent="0.25">
      <c r="B81" s="217" t="s">
        <v>186</v>
      </c>
      <c r="C81" s="69">
        <f>C80/32</f>
        <v>2.4715267007493402</v>
      </c>
      <c r="D81" s="499" t="s">
        <v>247</v>
      </c>
      <c r="E81" s="500"/>
      <c r="F81" s="500"/>
    </row>
    <row r="82" spans="1:9" ht="45" x14ac:dyDescent="0.25">
      <c r="C82" s="218" t="s">
        <v>187</v>
      </c>
      <c r="D82" s="223">
        <f>1/C81</f>
        <v>0.40460821228304383</v>
      </c>
      <c r="I82" s="64"/>
    </row>
    <row r="83" spans="1:9" ht="5.0999999999999996" customHeight="1" x14ac:dyDescent="0.25">
      <c r="A83" s="209"/>
      <c r="B83" s="209"/>
      <c r="C83" s="209"/>
      <c r="D83" s="209"/>
      <c r="E83" s="209"/>
    </row>
    <row r="84" spans="1:9" x14ac:dyDescent="0.25">
      <c r="A84" s="490" t="s">
        <v>487</v>
      </c>
      <c r="B84" s="491"/>
      <c r="C84" s="491"/>
      <c r="D84" s="491"/>
      <c r="E84" s="492"/>
    </row>
    <row r="85" spans="1:9" ht="45" x14ac:dyDescent="0.25">
      <c r="A85" s="60" t="s">
        <v>246</v>
      </c>
      <c r="B85" s="59" t="s">
        <v>337</v>
      </c>
      <c r="C85" s="123" t="s">
        <v>184</v>
      </c>
      <c r="D85" s="123" t="s">
        <v>191</v>
      </c>
      <c r="E85" s="123" t="s">
        <v>190</v>
      </c>
    </row>
    <row r="86" spans="1:9" x14ac:dyDescent="0.25">
      <c r="A86" s="126">
        <v>1</v>
      </c>
      <c r="B86" s="210" t="s">
        <v>486</v>
      </c>
      <c r="C86" s="211">
        <f>E86/D86</f>
        <v>2.0541929394491563</v>
      </c>
      <c r="D86" s="70">
        <v>3051.32</v>
      </c>
      <c r="E86" s="71">
        <v>6268</v>
      </c>
    </row>
    <row r="87" spans="1:9" x14ac:dyDescent="0.25">
      <c r="A87" s="127">
        <v>2</v>
      </c>
      <c r="B87" s="212" t="s">
        <v>465</v>
      </c>
      <c r="C87" s="211">
        <f>E87/D87</f>
        <v>2.3101549300565822</v>
      </c>
      <c r="D87" s="72">
        <v>2645.71</v>
      </c>
      <c r="E87" s="73">
        <v>6112</v>
      </c>
    </row>
    <row r="88" spans="1:9" x14ac:dyDescent="0.25">
      <c r="A88" s="127">
        <v>3</v>
      </c>
      <c r="B88" s="212" t="s">
        <v>467</v>
      </c>
      <c r="C88" s="211">
        <f t="shared" ref="C88:C119" si="2">E88/D88</f>
        <v>2.4783962966148279</v>
      </c>
      <c r="D88" s="72">
        <v>2674.31</v>
      </c>
      <c r="E88" s="73">
        <v>6628</v>
      </c>
    </row>
    <row r="89" spans="1:9" x14ac:dyDescent="0.25">
      <c r="A89" s="127">
        <v>4</v>
      </c>
      <c r="B89" s="212" t="s">
        <v>469</v>
      </c>
      <c r="C89" s="211">
        <f t="shared" si="2"/>
        <v>2.1123637612816588</v>
      </c>
      <c r="D89" s="72">
        <v>3202.1</v>
      </c>
      <c r="E89" s="73">
        <v>6764</v>
      </c>
    </row>
    <row r="90" spans="1:9" x14ac:dyDescent="0.25">
      <c r="A90" s="127">
        <v>5</v>
      </c>
      <c r="B90" s="212" t="s">
        <v>470</v>
      </c>
      <c r="C90" s="211">
        <f t="shared" si="2"/>
        <v>2.7100863293629116</v>
      </c>
      <c r="D90" s="72">
        <v>1098.1199999999999</v>
      </c>
      <c r="E90" s="73">
        <v>2976</v>
      </c>
    </row>
    <row r="91" spans="1:9" x14ac:dyDescent="0.25">
      <c r="A91" s="127">
        <v>6</v>
      </c>
      <c r="B91" s="212" t="s">
        <v>472</v>
      </c>
      <c r="C91" s="211">
        <f t="shared" si="2"/>
        <v>2.3852295101667287</v>
      </c>
      <c r="D91" s="72">
        <v>3245.39</v>
      </c>
      <c r="E91" s="73">
        <v>7741</v>
      </c>
    </row>
    <row r="92" spans="1:9" x14ac:dyDescent="0.25">
      <c r="A92" s="127">
        <v>7</v>
      </c>
      <c r="B92" s="212" t="s">
        <v>473</v>
      </c>
      <c r="C92" s="211">
        <f t="shared" si="2"/>
        <v>2.5593532728699429</v>
      </c>
      <c r="D92" s="72">
        <v>2191.96</v>
      </c>
      <c r="E92" s="73">
        <v>5610</v>
      </c>
    </row>
    <row r="93" spans="1:9" x14ac:dyDescent="0.25">
      <c r="A93" s="127">
        <v>8</v>
      </c>
      <c r="B93" s="212" t="s">
        <v>474</v>
      </c>
      <c r="C93" s="211">
        <f t="shared" si="2"/>
        <v>1.856549815498155</v>
      </c>
      <c r="D93" s="72">
        <v>3035.2</v>
      </c>
      <c r="E93" s="73">
        <v>5635</v>
      </c>
    </row>
    <row r="94" spans="1:9" x14ac:dyDescent="0.25">
      <c r="A94" s="127">
        <v>9</v>
      </c>
      <c r="B94" s="212" t="s">
        <v>476</v>
      </c>
      <c r="C94" s="211">
        <f t="shared" si="2"/>
        <v>1.957777096141792</v>
      </c>
      <c r="D94" s="72">
        <v>749.83</v>
      </c>
      <c r="E94" s="73">
        <v>1468</v>
      </c>
    </row>
    <row r="95" spans="1:9" x14ac:dyDescent="0.25">
      <c r="A95" s="127">
        <v>10</v>
      </c>
      <c r="B95" s="212" t="s">
        <v>477</v>
      </c>
      <c r="C95" s="211">
        <f t="shared" si="2"/>
        <v>2.2140611498225811</v>
      </c>
      <c r="D95" s="72">
        <v>2175.64</v>
      </c>
      <c r="E95" s="73">
        <v>4817</v>
      </c>
    </row>
    <row r="96" spans="1:9" x14ac:dyDescent="0.25">
      <c r="A96" s="127">
        <v>11</v>
      </c>
      <c r="B96" s="212" t="s">
        <v>478</v>
      </c>
      <c r="C96" s="211">
        <f t="shared" si="2"/>
        <v>2.236792845621757</v>
      </c>
      <c r="D96" s="72">
        <v>2858.11</v>
      </c>
      <c r="E96" s="73">
        <v>6393</v>
      </c>
    </row>
    <row r="97" spans="1:5" x14ac:dyDescent="0.25">
      <c r="A97" s="127">
        <v>12</v>
      </c>
      <c r="B97" s="212" t="s">
        <v>356</v>
      </c>
      <c r="C97" s="211">
        <f t="shared" si="2"/>
        <v>2.1213967842207659</v>
      </c>
      <c r="D97" s="72">
        <v>3577.36</v>
      </c>
      <c r="E97" s="73">
        <v>7589</v>
      </c>
    </row>
    <row r="98" spans="1:5" x14ac:dyDescent="0.25">
      <c r="A98" s="127">
        <v>13</v>
      </c>
      <c r="B98" s="212" t="s">
        <v>355</v>
      </c>
      <c r="C98" s="211">
        <f t="shared" si="2"/>
        <v>2.8408370877596236</v>
      </c>
      <c r="D98" s="72">
        <v>2288.41</v>
      </c>
      <c r="E98" s="73">
        <v>6501</v>
      </c>
    </row>
    <row r="99" spans="1:5" x14ac:dyDescent="0.25">
      <c r="A99" s="127">
        <v>14</v>
      </c>
      <c r="B99" s="212" t="s">
        <v>338</v>
      </c>
      <c r="C99" s="211">
        <f t="shared" si="2"/>
        <v>1.9544870340969229</v>
      </c>
      <c r="D99" s="72">
        <v>3306.75</v>
      </c>
      <c r="E99" s="73">
        <v>6463</v>
      </c>
    </row>
    <row r="100" spans="1:5" x14ac:dyDescent="0.25">
      <c r="A100" s="127">
        <v>15</v>
      </c>
      <c r="B100" s="212" t="s">
        <v>481</v>
      </c>
      <c r="C100" s="211">
        <f t="shared" si="2"/>
        <v>3.2842738229656279</v>
      </c>
      <c r="D100" s="72">
        <v>1523.32</v>
      </c>
      <c r="E100" s="73">
        <v>5003</v>
      </c>
    </row>
    <row r="101" spans="1:5" x14ac:dyDescent="0.25">
      <c r="A101" s="127">
        <v>16</v>
      </c>
      <c r="B101" s="212" t="s">
        <v>482</v>
      </c>
      <c r="C101" s="211">
        <f t="shared" si="2"/>
        <v>2.4015855557934054</v>
      </c>
      <c r="D101" s="72">
        <v>2709.46</v>
      </c>
      <c r="E101" s="73">
        <v>6507</v>
      </c>
    </row>
    <row r="102" spans="1:5" x14ac:dyDescent="0.25">
      <c r="A102" s="127">
        <v>17</v>
      </c>
      <c r="B102" s="212" t="s">
        <v>483</v>
      </c>
      <c r="C102" s="211">
        <f t="shared" si="2"/>
        <v>2.2389880449674378</v>
      </c>
      <c r="D102" s="72">
        <v>2664.15</v>
      </c>
      <c r="E102" s="73">
        <v>5965</v>
      </c>
    </row>
    <row r="103" spans="1:5" x14ac:dyDescent="0.25">
      <c r="A103" s="127">
        <v>18</v>
      </c>
      <c r="B103" s="212" t="s">
        <v>339</v>
      </c>
      <c r="C103" s="211">
        <f t="shared" si="2"/>
        <v>2.1369404696592231</v>
      </c>
      <c r="D103" s="72">
        <v>2223.7399999999998</v>
      </c>
      <c r="E103" s="73">
        <v>4752</v>
      </c>
    </row>
    <row r="104" spans="1:5" x14ac:dyDescent="0.25">
      <c r="A104" s="127">
        <v>19</v>
      </c>
      <c r="B104" s="212" t="s">
        <v>339</v>
      </c>
      <c r="C104" s="211">
        <f t="shared" si="2"/>
        <v>2.938538213948223</v>
      </c>
      <c r="D104" s="72">
        <v>2084.71</v>
      </c>
      <c r="E104" s="73">
        <v>6126</v>
      </c>
    </row>
    <row r="105" spans="1:5" x14ac:dyDescent="0.25">
      <c r="A105" s="127">
        <v>20</v>
      </c>
      <c r="B105" s="212" t="s">
        <v>340</v>
      </c>
      <c r="C105" s="211">
        <f t="shared" si="2"/>
        <v>2.4616708806283287</v>
      </c>
      <c r="D105" s="72">
        <v>2788.35</v>
      </c>
      <c r="E105" s="73">
        <v>6864</v>
      </c>
    </row>
    <row r="106" spans="1:5" x14ac:dyDescent="0.25">
      <c r="A106" s="127">
        <v>21</v>
      </c>
      <c r="B106" s="212" t="s">
        <v>357</v>
      </c>
      <c r="C106" s="211">
        <f t="shared" si="2"/>
        <v>1.7714913485306234</v>
      </c>
      <c r="D106" s="72">
        <v>218.46</v>
      </c>
      <c r="E106" s="73">
        <v>387</v>
      </c>
    </row>
    <row r="107" spans="1:5" x14ac:dyDescent="0.25">
      <c r="A107" s="127">
        <v>22</v>
      </c>
      <c r="B107" s="212" t="s">
        <v>341</v>
      </c>
      <c r="C107" s="211">
        <f t="shared" si="2"/>
        <v>2.1877055615676788</v>
      </c>
      <c r="D107" s="72">
        <v>471.27</v>
      </c>
      <c r="E107" s="73">
        <v>1031</v>
      </c>
    </row>
    <row r="108" spans="1:5" x14ac:dyDescent="0.25">
      <c r="A108" s="127">
        <v>23</v>
      </c>
      <c r="B108" s="212" t="s">
        <v>342</v>
      </c>
      <c r="C108" s="211">
        <f t="shared" si="2"/>
        <v>2.2469273218584256</v>
      </c>
      <c r="D108" s="72">
        <v>2982.74</v>
      </c>
      <c r="E108" s="73">
        <v>6702</v>
      </c>
    </row>
    <row r="109" spans="1:5" x14ac:dyDescent="0.25">
      <c r="A109" s="127">
        <v>24</v>
      </c>
      <c r="B109" s="212" t="s">
        <v>343</v>
      </c>
      <c r="C109" s="211">
        <f t="shared" si="2"/>
        <v>2.3370405745091536</v>
      </c>
      <c r="D109" s="72">
        <v>2502.31</v>
      </c>
      <c r="E109" s="73">
        <v>5848</v>
      </c>
    </row>
    <row r="110" spans="1:5" x14ac:dyDescent="0.25">
      <c r="A110" s="127">
        <v>25</v>
      </c>
      <c r="B110" s="212" t="s">
        <v>344</v>
      </c>
      <c r="C110" s="211">
        <f t="shared" si="2"/>
        <v>2.5534283828122692</v>
      </c>
      <c r="D110" s="72">
        <v>2029.82</v>
      </c>
      <c r="E110" s="73">
        <v>5183</v>
      </c>
    </row>
    <row r="111" spans="1:5" x14ac:dyDescent="0.25">
      <c r="A111" s="127">
        <v>26</v>
      </c>
      <c r="B111" s="212" t="s">
        <v>399</v>
      </c>
      <c r="C111" s="211">
        <f t="shared" si="2"/>
        <v>2.1391847227322804</v>
      </c>
      <c r="D111" s="72">
        <v>2287.3200000000002</v>
      </c>
      <c r="E111" s="73">
        <v>4893</v>
      </c>
    </row>
    <row r="112" spans="1:5" x14ac:dyDescent="0.25">
      <c r="A112" s="127">
        <v>27</v>
      </c>
      <c r="B112" s="212" t="s">
        <v>345</v>
      </c>
      <c r="C112" s="211">
        <f t="shared" si="2"/>
        <v>2.6960098193328883</v>
      </c>
      <c r="D112" s="72">
        <v>1857.56</v>
      </c>
      <c r="E112" s="73">
        <v>5008</v>
      </c>
    </row>
    <row r="113" spans="1:9" x14ac:dyDescent="0.25">
      <c r="A113" s="127">
        <v>28</v>
      </c>
      <c r="B113" s="213" t="s">
        <v>346</v>
      </c>
      <c r="C113" s="211">
        <f t="shared" si="2"/>
        <v>2.4795429194233698</v>
      </c>
      <c r="D113" s="74">
        <v>2348.8200000000002</v>
      </c>
      <c r="E113" s="75">
        <v>5824</v>
      </c>
    </row>
    <row r="114" spans="1:9" x14ac:dyDescent="0.25">
      <c r="A114" s="127">
        <v>29</v>
      </c>
      <c r="B114" s="213" t="s">
        <v>347</v>
      </c>
      <c r="C114" s="211">
        <f t="shared" si="2"/>
        <v>3.0617781292443431</v>
      </c>
      <c r="D114" s="74">
        <v>2819.93</v>
      </c>
      <c r="E114" s="75">
        <v>8634</v>
      </c>
    </row>
    <row r="115" spans="1:9" x14ac:dyDescent="0.25">
      <c r="A115" s="127">
        <v>30</v>
      </c>
      <c r="B115" s="213" t="s">
        <v>348</v>
      </c>
      <c r="C115" s="211">
        <f t="shared" si="2"/>
        <v>3.0736259668400647</v>
      </c>
      <c r="D115" s="74">
        <v>2566.35</v>
      </c>
      <c r="E115" s="75">
        <v>7888</v>
      </c>
    </row>
    <row r="116" spans="1:9" x14ac:dyDescent="0.25">
      <c r="A116" s="127">
        <v>31</v>
      </c>
      <c r="B116" s="213" t="s">
        <v>349</v>
      </c>
      <c r="C116" s="211">
        <f t="shared" si="2"/>
        <v>2.6085137051589053</v>
      </c>
      <c r="D116" s="74">
        <v>430.13</v>
      </c>
      <c r="E116" s="75">
        <v>1122</v>
      </c>
    </row>
    <row r="117" spans="1:9" x14ac:dyDescent="0.25">
      <c r="A117" s="127">
        <v>32</v>
      </c>
      <c r="B117" s="213" t="s">
        <v>350</v>
      </c>
      <c r="C117" s="211">
        <f t="shared" si="2"/>
        <v>2.8974136625786291</v>
      </c>
      <c r="D117" s="74">
        <v>2179.5300000000002</v>
      </c>
      <c r="E117" s="75">
        <v>6315</v>
      </c>
    </row>
    <row r="118" spans="1:9" x14ac:dyDescent="0.25">
      <c r="A118" s="127">
        <v>33</v>
      </c>
      <c r="B118" s="213" t="s">
        <v>351</v>
      </c>
      <c r="C118" s="211">
        <f t="shared" si="2"/>
        <v>2.9614387749045368</v>
      </c>
      <c r="D118" s="72">
        <v>2527.15</v>
      </c>
      <c r="E118" s="73">
        <v>7484</v>
      </c>
    </row>
    <row r="119" spans="1:9" x14ac:dyDescent="0.25">
      <c r="A119" s="219">
        <v>34</v>
      </c>
      <c r="B119" s="213" t="s">
        <v>484</v>
      </c>
      <c r="C119" s="211">
        <f t="shared" si="2"/>
        <v>2.4393150032047592</v>
      </c>
      <c r="D119" s="215">
        <v>2433.88</v>
      </c>
      <c r="E119" s="216">
        <v>5937</v>
      </c>
    </row>
    <row r="120" spans="1:9" x14ac:dyDescent="0.25">
      <c r="B120" s="217" t="s">
        <v>185</v>
      </c>
      <c r="C120" s="61">
        <f>SUM(C86:C119)</f>
        <v>82.707091733623571</v>
      </c>
    </row>
    <row r="121" spans="1:9" ht="30" customHeight="1" x14ac:dyDescent="0.25">
      <c r="B121" s="217" t="s">
        <v>186</v>
      </c>
      <c r="C121" s="69">
        <f>C120/34</f>
        <v>2.4325615215771639</v>
      </c>
      <c r="D121" s="499" t="s">
        <v>247</v>
      </c>
      <c r="E121" s="500"/>
      <c r="F121" s="500"/>
    </row>
    <row r="122" spans="1:9" ht="45" x14ac:dyDescent="0.25">
      <c r="C122" s="218" t="s">
        <v>187</v>
      </c>
      <c r="D122" s="223">
        <f>1/C121</f>
        <v>0.41108929460975968</v>
      </c>
      <c r="I122" s="64"/>
    </row>
    <row r="123" spans="1:9" ht="5.0999999999999996" customHeight="1" x14ac:dyDescent="0.25">
      <c r="A123" s="209"/>
      <c r="B123" s="209"/>
      <c r="C123" s="209"/>
      <c r="D123" s="209"/>
      <c r="E123" s="209"/>
    </row>
    <row r="124" spans="1:9" x14ac:dyDescent="0.25">
      <c r="A124" s="490" t="s">
        <v>488</v>
      </c>
      <c r="B124" s="491"/>
      <c r="C124" s="491"/>
      <c r="D124" s="491"/>
      <c r="E124" s="492"/>
    </row>
    <row r="125" spans="1:9" ht="45" x14ac:dyDescent="0.25">
      <c r="A125" s="60" t="s">
        <v>246</v>
      </c>
      <c r="B125" s="59" t="s">
        <v>337</v>
      </c>
      <c r="C125" s="123" t="s">
        <v>184</v>
      </c>
      <c r="D125" s="123" t="s">
        <v>191</v>
      </c>
      <c r="E125" s="123" t="s">
        <v>190</v>
      </c>
    </row>
    <row r="126" spans="1:9" x14ac:dyDescent="0.25">
      <c r="A126" s="126">
        <v>1</v>
      </c>
      <c r="B126" s="210" t="s">
        <v>486</v>
      </c>
      <c r="C126" s="211">
        <f>E126/D126</f>
        <v>2.0541929394491563</v>
      </c>
      <c r="D126" s="70">
        <v>3051.32</v>
      </c>
      <c r="E126" s="71">
        <v>6268</v>
      </c>
    </row>
    <row r="127" spans="1:9" x14ac:dyDescent="0.25">
      <c r="A127" s="127">
        <v>2</v>
      </c>
      <c r="B127" s="212" t="s">
        <v>465</v>
      </c>
      <c r="C127" s="211">
        <f>E127/D127</f>
        <v>2.3101549300565822</v>
      </c>
      <c r="D127" s="72">
        <v>2645.71</v>
      </c>
      <c r="E127" s="73">
        <v>6112</v>
      </c>
    </row>
    <row r="128" spans="1:9" x14ac:dyDescent="0.25">
      <c r="A128" s="127">
        <v>3</v>
      </c>
      <c r="B128" s="212" t="s">
        <v>467</v>
      </c>
      <c r="C128" s="211">
        <f t="shared" ref="C128:C159" si="3">E128/D128</f>
        <v>2.4783962966148279</v>
      </c>
      <c r="D128" s="72">
        <v>2674.31</v>
      </c>
      <c r="E128" s="73">
        <v>6628</v>
      </c>
    </row>
    <row r="129" spans="1:5" x14ac:dyDescent="0.25">
      <c r="A129" s="127">
        <v>4</v>
      </c>
      <c r="B129" s="212" t="s">
        <v>469</v>
      </c>
      <c r="C129" s="211">
        <f t="shared" si="3"/>
        <v>2.1123637612816588</v>
      </c>
      <c r="D129" s="72">
        <v>3202.1</v>
      </c>
      <c r="E129" s="73">
        <v>6764</v>
      </c>
    </row>
    <row r="130" spans="1:5" x14ac:dyDescent="0.25">
      <c r="A130" s="127">
        <v>5</v>
      </c>
      <c r="B130" s="212" t="s">
        <v>470</v>
      </c>
      <c r="C130" s="211">
        <f t="shared" si="3"/>
        <v>2.7100863293629116</v>
      </c>
      <c r="D130" s="72">
        <v>1098.1199999999999</v>
      </c>
      <c r="E130" s="73">
        <v>2976</v>
      </c>
    </row>
    <row r="131" spans="1:5" x14ac:dyDescent="0.25">
      <c r="A131" s="127">
        <v>6</v>
      </c>
      <c r="B131" s="212" t="s">
        <v>472</v>
      </c>
      <c r="C131" s="211">
        <f t="shared" si="3"/>
        <v>2.3852295101667287</v>
      </c>
      <c r="D131" s="72">
        <v>3245.39</v>
      </c>
      <c r="E131" s="73">
        <v>7741</v>
      </c>
    </row>
    <row r="132" spans="1:5" x14ac:dyDescent="0.25">
      <c r="A132" s="127">
        <v>7</v>
      </c>
      <c r="B132" s="212" t="s">
        <v>473</v>
      </c>
      <c r="C132" s="211">
        <f t="shared" si="3"/>
        <v>2.5593532728699429</v>
      </c>
      <c r="D132" s="72">
        <v>2191.96</v>
      </c>
      <c r="E132" s="73">
        <v>5610</v>
      </c>
    </row>
    <row r="133" spans="1:5" x14ac:dyDescent="0.25">
      <c r="A133" s="127">
        <v>8</v>
      </c>
      <c r="B133" s="212" t="s">
        <v>474</v>
      </c>
      <c r="C133" s="211">
        <f t="shared" si="3"/>
        <v>1.856549815498155</v>
      </c>
      <c r="D133" s="72">
        <v>3035.2</v>
      </c>
      <c r="E133" s="73">
        <v>5635</v>
      </c>
    </row>
    <row r="134" spans="1:5" x14ac:dyDescent="0.25">
      <c r="A134" s="127">
        <v>9</v>
      </c>
      <c r="B134" s="212" t="s">
        <v>476</v>
      </c>
      <c r="C134" s="211">
        <f t="shared" si="3"/>
        <v>1.957777096141792</v>
      </c>
      <c r="D134" s="72">
        <v>749.83</v>
      </c>
      <c r="E134" s="73">
        <v>1468</v>
      </c>
    </row>
    <row r="135" spans="1:5" x14ac:dyDescent="0.25">
      <c r="A135" s="127">
        <v>10</v>
      </c>
      <c r="B135" s="212" t="s">
        <v>477</v>
      </c>
      <c r="C135" s="211">
        <f t="shared" si="3"/>
        <v>2.2140611498225811</v>
      </c>
      <c r="D135" s="72">
        <v>2175.64</v>
      </c>
      <c r="E135" s="73">
        <v>4817</v>
      </c>
    </row>
    <row r="136" spans="1:5" x14ac:dyDescent="0.25">
      <c r="A136" s="127">
        <v>11</v>
      </c>
      <c r="B136" s="212" t="s">
        <v>478</v>
      </c>
      <c r="C136" s="211">
        <f t="shared" si="3"/>
        <v>2.236792845621757</v>
      </c>
      <c r="D136" s="72">
        <v>2858.11</v>
      </c>
      <c r="E136" s="73">
        <v>6393</v>
      </c>
    </row>
    <row r="137" spans="1:5" x14ac:dyDescent="0.25">
      <c r="A137" s="127">
        <v>12</v>
      </c>
      <c r="B137" s="212" t="s">
        <v>356</v>
      </c>
      <c r="C137" s="211">
        <f t="shared" si="3"/>
        <v>2.1213967842207659</v>
      </c>
      <c r="D137" s="72">
        <v>3577.36</v>
      </c>
      <c r="E137" s="73">
        <v>7589</v>
      </c>
    </row>
    <row r="138" spans="1:5" x14ac:dyDescent="0.25">
      <c r="A138" s="127">
        <v>13</v>
      </c>
      <c r="B138" s="212" t="s">
        <v>355</v>
      </c>
      <c r="C138" s="211">
        <f t="shared" si="3"/>
        <v>2.8408370877596236</v>
      </c>
      <c r="D138" s="72">
        <v>2288.41</v>
      </c>
      <c r="E138" s="73">
        <v>6501</v>
      </c>
    </row>
    <row r="139" spans="1:5" x14ac:dyDescent="0.25">
      <c r="A139" s="127">
        <v>14</v>
      </c>
      <c r="B139" s="212" t="s">
        <v>338</v>
      </c>
      <c r="C139" s="211">
        <f t="shared" si="3"/>
        <v>1.9544870340969229</v>
      </c>
      <c r="D139" s="72">
        <v>3306.75</v>
      </c>
      <c r="E139" s="73">
        <v>6463</v>
      </c>
    </row>
    <row r="140" spans="1:5" x14ac:dyDescent="0.25">
      <c r="A140" s="127">
        <v>15</v>
      </c>
      <c r="B140" s="212" t="s">
        <v>481</v>
      </c>
      <c r="C140" s="211">
        <f t="shared" si="3"/>
        <v>3.2842738229656279</v>
      </c>
      <c r="D140" s="72">
        <v>1523.32</v>
      </c>
      <c r="E140" s="73">
        <v>5003</v>
      </c>
    </row>
    <row r="141" spans="1:5" x14ac:dyDescent="0.25">
      <c r="A141" s="127">
        <v>16</v>
      </c>
      <c r="B141" s="212" t="s">
        <v>482</v>
      </c>
      <c r="C141" s="211">
        <f t="shared" si="3"/>
        <v>2.4015855557934054</v>
      </c>
      <c r="D141" s="72">
        <v>2709.46</v>
      </c>
      <c r="E141" s="73">
        <v>6507</v>
      </c>
    </row>
    <row r="142" spans="1:5" x14ac:dyDescent="0.25">
      <c r="A142" s="127">
        <v>17</v>
      </c>
      <c r="B142" s="212" t="s">
        <v>483</v>
      </c>
      <c r="C142" s="211">
        <f t="shared" si="3"/>
        <v>2.2389880449674378</v>
      </c>
      <c r="D142" s="72">
        <v>2664.15</v>
      </c>
      <c r="E142" s="73">
        <v>5965</v>
      </c>
    </row>
    <row r="143" spans="1:5" x14ac:dyDescent="0.25">
      <c r="A143" s="127">
        <v>18</v>
      </c>
      <c r="B143" s="212" t="s">
        <v>339</v>
      </c>
      <c r="C143" s="211">
        <f t="shared" si="3"/>
        <v>2.1369404696592231</v>
      </c>
      <c r="D143" s="72">
        <v>2223.7399999999998</v>
      </c>
      <c r="E143" s="73">
        <v>4752</v>
      </c>
    </row>
    <row r="144" spans="1:5" x14ac:dyDescent="0.25">
      <c r="A144" s="127">
        <v>19</v>
      </c>
      <c r="B144" s="212" t="s">
        <v>339</v>
      </c>
      <c r="C144" s="211">
        <f t="shared" si="3"/>
        <v>2.938538213948223</v>
      </c>
      <c r="D144" s="72">
        <v>2084.71</v>
      </c>
      <c r="E144" s="73">
        <v>6126</v>
      </c>
    </row>
    <row r="145" spans="1:5" x14ac:dyDescent="0.25">
      <c r="A145" s="127">
        <v>20</v>
      </c>
      <c r="B145" s="212" t="s">
        <v>340</v>
      </c>
      <c r="C145" s="211">
        <f t="shared" si="3"/>
        <v>2.4616708806283287</v>
      </c>
      <c r="D145" s="72">
        <v>2788.35</v>
      </c>
      <c r="E145" s="73">
        <v>6864</v>
      </c>
    </row>
    <row r="146" spans="1:5" x14ac:dyDescent="0.25">
      <c r="A146" s="127">
        <v>21</v>
      </c>
      <c r="B146" s="212" t="s">
        <v>357</v>
      </c>
      <c r="C146" s="211">
        <f t="shared" si="3"/>
        <v>1.7714913485306234</v>
      </c>
      <c r="D146" s="72">
        <v>218.46</v>
      </c>
      <c r="E146" s="73">
        <v>387</v>
      </c>
    </row>
    <row r="147" spans="1:5" x14ac:dyDescent="0.25">
      <c r="A147" s="127">
        <v>22</v>
      </c>
      <c r="B147" s="212" t="s">
        <v>341</v>
      </c>
      <c r="C147" s="211">
        <f t="shared" si="3"/>
        <v>2.1877055615676788</v>
      </c>
      <c r="D147" s="72">
        <v>471.27</v>
      </c>
      <c r="E147" s="73">
        <v>1031</v>
      </c>
    </row>
    <row r="148" spans="1:5" x14ac:dyDescent="0.25">
      <c r="A148" s="127">
        <v>23</v>
      </c>
      <c r="B148" s="212" t="s">
        <v>342</v>
      </c>
      <c r="C148" s="211">
        <f t="shared" si="3"/>
        <v>2.2469273218584256</v>
      </c>
      <c r="D148" s="72">
        <v>2982.74</v>
      </c>
      <c r="E148" s="73">
        <v>6702</v>
      </c>
    </row>
    <row r="149" spans="1:5" x14ac:dyDescent="0.25">
      <c r="A149" s="127">
        <v>24</v>
      </c>
      <c r="B149" s="212" t="s">
        <v>343</v>
      </c>
      <c r="C149" s="211">
        <f t="shared" si="3"/>
        <v>2.3370405745091536</v>
      </c>
      <c r="D149" s="72">
        <v>2502.31</v>
      </c>
      <c r="E149" s="73">
        <v>5848</v>
      </c>
    </row>
    <row r="150" spans="1:5" x14ac:dyDescent="0.25">
      <c r="A150" s="127">
        <v>25</v>
      </c>
      <c r="B150" s="212" t="s">
        <v>344</v>
      </c>
      <c r="C150" s="211">
        <f t="shared" si="3"/>
        <v>2.5534283828122692</v>
      </c>
      <c r="D150" s="72">
        <v>2029.82</v>
      </c>
      <c r="E150" s="73">
        <v>5183</v>
      </c>
    </row>
    <row r="151" spans="1:5" x14ac:dyDescent="0.25">
      <c r="A151" s="127">
        <v>26</v>
      </c>
      <c r="B151" s="212" t="s">
        <v>399</v>
      </c>
      <c r="C151" s="211">
        <f t="shared" si="3"/>
        <v>2.1391847227322804</v>
      </c>
      <c r="D151" s="72">
        <v>2287.3200000000002</v>
      </c>
      <c r="E151" s="73">
        <v>4893</v>
      </c>
    </row>
    <row r="152" spans="1:5" x14ac:dyDescent="0.25">
      <c r="A152" s="127">
        <v>27</v>
      </c>
      <c r="B152" s="212" t="s">
        <v>345</v>
      </c>
      <c r="C152" s="211">
        <f t="shared" si="3"/>
        <v>2.6960098193328883</v>
      </c>
      <c r="D152" s="72">
        <v>1857.56</v>
      </c>
      <c r="E152" s="73">
        <v>5008</v>
      </c>
    </row>
    <row r="153" spans="1:5" x14ac:dyDescent="0.25">
      <c r="A153" s="127">
        <v>28</v>
      </c>
      <c r="B153" s="213" t="s">
        <v>346</v>
      </c>
      <c r="C153" s="211">
        <f t="shared" si="3"/>
        <v>2.4795429194233698</v>
      </c>
      <c r="D153" s="74">
        <v>2348.8200000000002</v>
      </c>
      <c r="E153" s="75">
        <v>5824</v>
      </c>
    </row>
    <row r="154" spans="1:5" x14ac:dyDescent="0.25">
      <c r="A154" s="127">
        <v>29</v>
      </c>
      <c r="B154" s="213" t="s">
        <v>347</v>
      </c>
      <c r="C154" s="211">
        <f t="shared" si="3"/>
        <v>3.0617781292443431</v>
      </c>
      <c r="D154" s="74">
        <v>2819.93</v>
      </c>
      <c r="E154" s="75">
        <v>8634</v>
      </c>
    </row>
    <row r="155" spans="1:5" x14ac:dyDescent="0.25">
      <c r="A155" s="127">
        <v>30</v>
      </c>
      <c r="B155" s="213" t="s">
        <v>348</v>
      </c>
      <c r="C155" s="211">
        <f t="shared" si="3"/>
        <v>3.0736259668400647</v>
      </c>
      <c r="D155" s="74">
        <v>2566.35</v>
      </c>
      <c r="E155" s="75">
        <v>7888</v>
      </c>
    </row>
    <row r="156" spans="1:5" x14ac:dyDescent="0.25">
      <c r="A156" s="127">
        <v>31</v>
      </c>
      <c r="B156" s="213" t="s">
        <v>349</v>
      </c>
      <c r="C156" s="211">
        <f t="shared" si="3"/>
        <v>2.6085137051589053</v>
      </c>
      <c r="D156" s="74">
        <v>430.13</v>
      </c>
      <c r="E156" s="75">
        <v>1122</v>
      </c>
    </row>
    <row r="157" spans="1:5" x14ac:dyDescent="0.25">
      <c r="A157" s="127">
        <v>32</v>
      </c>
      <c r="B157" s="213" t="s">
        <v>350</v>
      </c>
      <c r="C157" s="211">
        <f t="shared" si="3"/>
        <v>2.8974136625786291</v>
      </c>
      <c r="D157" s="74">
        <v>2179.5300000000002</v>
      </c>
      <c r="E157" s="75">
        <v>6315</v>
      </c>
    </row>
    <row r="158" spans="1:5" x14ac:dyDescent="0.25">
      <c r="A158" s="127">
        <v>33</v>
      </c>
      <c r="B158" s="213" t="s">
        <v>351</v>
      </c>
      <c r="C158" s="211">
        <f t="shared" si="3"/>
        <v>2.9614387749045368</v>
      </c>
      <c r="D158" s="72">
        <v>2527.15</v>
      </c>
      <c r="E158" s="73">
        <v>7484</v>
      </c>
    </row>
    <row r="159" spans="1:5" x14ac:dyDescent="0.25">
      <c r="A159" s="219">
        <v>34</v>
      </c>
      <c r="B159" s="213" t="s">
        <v>484</v>
      </c>
      <c r="C159" s="211">
        <f t="shared" si="3"/>
        <v>2.4393150032047592</v>
      </c>
      <c r="D159" s="215">
        <v>2433.88</v>
      </c>
      <c r="E159" s="216">
        <v>5937</v>
      </c>
    </row>
    <row r="160" spans="1:5" x14ac:dyDescent="0.25">
      <c r="B160" s="217" t="s">
        <v>185</v>
      </c>
      <c r="C160" s="61">
        <f>SUM(C126:C159)</f>
        <v>82.707091733623571</v>
      </c>
    </row>
    <row r="161" spans="1:9" ht="30" customHeight="1" x14ac:dyDescent="0.25">
      <c r="B161" s="217" t="s">
        <v>186</v>
      </c>
      <c r="C161" s="69">
        <f>C160/34</f>
        <v>2.4325615215771639</v>
      </c>
      <c r="D161" s="499" t="s">
        <v>247</v>
      </c>
      <c r="E161" s="500"/>
      <c r="F161" s="500"/>
    </row>
    <row r="162" spans="1:9" ht="45" x14ac:dyDescent="0.25">
      <c r="B162" s="218" t="s">
        <v>187</v>
      </c>
      <c r="C162" s="223">
        <f>1/C161</f>
        <v>0.41108929460975968</v>
      </c>
      <c r="I162" s="64"/>
    </row>
    <row r="163" spans="1:9" ht="5.0999999999999996" customHeight="1" x14ac:dyDescent="0.25">
      <c r="A163" s="209"/>
      <c r="B163" s="209"/>
      <c r="C163" s="209"/>
      <c r="D163" s="209"/>
      <c r="E163" s="209"/>
    </row>
    <row r="164" spans="1:9" x14ac:dyDescent="0.25">
      <c r="A164" s="490" t="s">
        <v>489</v>
      </c>
      <c r="B164" s="491"/>
      <c r="C164" s="491"/>
      <c r="D164" s="491"/>
      <c r="E164" s="492"/>
    </row>
    <row r="165" spans="1:9" ht="45" x14ac:dyDescent="0.25">
      <c r="A165" s="60" t="s">
        <v>246</v>
      </c>
      <c r="B165" s="59" t="s">
        <v>337</v>
      </c>
      <c r="C165" s="123" t="s">
        <v>184</v>
      </c>
      <c r="D165" s="123" t="s">
        <v>191</v>
      </c>
      <c r="E165" s="123" t="s">
        <v>190</v>
      </c>
    </row>
    <row r="166" spans="1:9" x14ac:dyDescent="0.25">
      <c r="A166" s="126">
        <v>1</v>
      </c>
      <c r="B166" s="210" t="s">
        <v>486</v>
      </c>
      <c r="C166" s="211">
        <f>E166/D166</f>
        <v>2.3061185037213647</v>
      </c>
      <c r="D166" s="70">
        <v>2482.96</v>
      </c>
      <c r="E166" s="71">
        <v>5726</v>
      </c>
    </row>
    <row r="167" spans="1:9" x14ac:dyDescent="0.25">
      <c r="A167" s="128">
        <v>2</v>
      </c>
      <c r="B167" s="210" t="s">
        <v>490</v>
      </c>
      <c r="C167" s="211">
        <f>E167/D167</f>
        <v>2.4556506026189742</v>
      </c>
      <c r="D167" s="129">
        <v>1726.63</v>
      </c>
      <c r="E167" s="130">
        <v>4240</v>
      </c>
    </row>
    <row r="168" spans="1:9" x14ac:dyDescent="0.25">
      <c r="A168" s="127">
        <v>3</v>
      </c>
      <c r="B168" s="212" t="s">
        <v>465</v>
      </c>
      <c r="C168" s="211">
        <f>E168/D168</f>
        <v>2.4368645951873149</v>
      </c>
      <c r="D168" s="72">
        <v>2653.82</v>
      </c>
      <c r="E168" s="73">
        <v>6467</v>
      </c>
    </row>
    <row r="169" spans="1:9" x14ac:dyDescent="0.25">
      <c r="A169" s="128">
        <v>4</v>
      </c>
      <c r="B169" s="212" t="s">
        <v>467</v>
      </c>
      <c r="C169" s="211">
        <f t="shared" ref="C169:C200" si="4">E169/D169</f>
        <v>2.7295298811692255</v>
      </c>
      <c r="D169" s="72">
        <v>1844.64</v>
      </c>
      <c r="E169" s="73">
        <v>5035</v>
      </c>
    </row>
    <row r="170" spans="1:9" x14ac:dyDescent="0.25">
      <c r="A170" s="127">
        <v>5</v>
      </c>
      <c r="B170" s="212" t="s">
        <v>469</v>
      </c>
      <c r="C170" s="211">
        <f t="shared" si="4"/>
        <v>2.2457457234497507</v>
      </c>
      <c r="D170" s="72">
        <v>1795.84</v>
      </c>
      <c r="E170" s="73">
        <v>4033</v>
      </c>
    </row>
    <row r="171" spans="1:9" x14ac:dyDescent="0.25">
      <c r="A171" s="128">
        <v>6</v>
      </c>
      <c r="B171" s="212" t="s">
        <v>470</v>
      </c>
      <c r="C171" s="211">
        <f t="shared" si="4"/>
        <v>2.3192742358495062</v>
      </c>
      <c r="D171" s="72">
        <v>1677.68</v>
      </c>
      <c r="E171" s="73">
        <v>3891</v>
      </c>
    </row>
    <row r="172" spans="1:9" x14ac:dyDescent="0.25">
      <c r="A172" s="127">
        <v>7</v>
      </c>
      <c r="B172" s="212" t="s">
        <v>471</v>
      </c>
      <c r="C172" s="211">
        <f t="shared" si="4"/>
        <v>2.4214456999761089</v>
      </c>
      <c r="D172" s="72">
        <v>2260.2199999999998</v>
      </c>
      <c r="E172" s="73">
        <v>5473</v>
      </c>
    </row>
    <row r="173" spans="1:9" x14ac:dyDescent="0.25">
      <c r="A173" s="128">
        <v>8</v>
      </c>
      <c r="B173" s="212" t="s">
        <v>472</v>
      </c>
      <c r="C173" s="211">
        <f t="shared" si="4"/>
        <v>2.4566311604676123</v>
      </c>
      <c r="D173" s="72">
        <v>2580.77</v>
      </c>
      <c r="E173" s="73">
        <v>6340</v>
      </c>
    </row>
    <row r="174" spans="1:9" x14ac:dyDescent="0.25">
      <c r="A174" s="127">
        <v>9</v>
      </c>
      <c r="B174" s="212" t="s">
        <v>473</v>
      </c>
      <c r="C174" s="211">
        <f t="shared" si="4"/>
        <v>2.2995290811134654</v>
      </c>
      <c r="D174" s="72">
        <v>2270.0300000000002</v>
      </c>
      <c r="E174" s="73">
        <v>5220</v>
      </c>
    </row>
    <row r="175" spans="1:9" x14ac:dyDescent="0.25">
      <c r="A175" s="128">
        <v>10</v>
      </c>
      <c r="B175" s="212" t="s">
        <v>474</v>
      </c>
      <c r="C175" s="211">
        <f t="shared" si="4"/>
        <v>1.8728065648224608</v>
      </c>
      <c r="D175" s="72">
        <v>3100.16</v>
      </c>
      <c r="E175" s="73">
        <v>5806</v>
      </c>
    </row>
    <row r="176" spans="1:9" x14ac:dyDescent="0.25">
      <c r="A176" s="128">
        <v>12</v>
      </c>
      <c r="B176" s="212" t="s">
        <v>477</v>
      </c>
      <c r="C176" s="211">
        <f t="shared" si="4"/>
        <v>2.2842084105679255</v>
      </c>
      <c r="D176" s="72">
        <v>2238.85</v>
      </c>
      <c r="E176" s="73">
        <v>5114</v>
      </c>
    </row>
    <row r="177" spans="1:5" x14ac:dyDescent="0.25">
      <c r="A177" s="127">
        <v>13</v>
      </c>
      <c r="B177" s="212" t="s">
        <v>478</v>
      </c>
      <c r="C177" s="211">
        <f t="shared" si="4"/>
        <v>2.3593685788188652</v>
      </c>
      <c r="D177" s="72">
        <v>2068.35</v>
      </c>
      <c r="E177" s="73">
        <v>4880</v>
      </c>
    </row>
    <row r="178" spans="1:5" x14ac:dyDescent="0.25">
      <c r="A178" s="128">
        <v>14</v>
      </c>
      <c r="B178" s="212" t="s">
        <v>356</v>
      </c>
      <c r="C178" s="211">
        <f t="shared" si="4"/>
        <v>2.6977994080568664</v>
      </c>
      <c r="D178" s="72">
        <v>1615.02</v>
      </c>
      <c r="E178" s="73">
        <v>4357</v>
      </c>
    </row>
    <row r="179" spans="1:5" x14ac:dyDescent="0.25">
      <c r="A179" s="127">
        <v>15</v>
      </c>
      <c r="B179" s="212" t="s">
        <v>355</v>
      </c>
      <c r="C179" s="211">
        <f t="shared" si="4"/>
        <v>3.0411476028690072</v>
      </c>
      <c r="D179" s="72">
        <v>1986.75</v>
      </c>
      <c r="E179" s="73">
        <v>6042</v>
      </c>
    </row>
    <row r="180" spans="1:5" x14ac:dyDescent="0.25">
      <c r="A180" s="128">
        <v>16</v>
      </c>
      <c r="B180" s="212" t="s">
        <v>338</v>
      </c>
      <c r="C180" s="211">
        <f t="shared" si="4"/>
        <v>2.0135853205245664</v>
      </c>
      <c r="D180" s="72">
        <v>3056.24</v>
      </c>
      <c r="E180" s="73">
        <v>6154</v>
      </c>
    </row>
    <row r="181" spans="1:5" x14ac:dyDescent="0.25">
      <c r="A181" s="127">
        <v>17</v>
      </c>
      <c r="B181" s="212" t="s">
        <v>481</v>
      </c>
      <c r="C181" s="211">
        <f t="shared" si="4"/>
        <v>2.8857229463473781</v>
      </c>
      <c r="D181" s="72">
        <v>2144.35</v>
      </c>
      <c r="E181" s="73">
        <v>6188</v>
      </c>
    </row>
    <row r="182" spans="1:5" x14ac:dyDescent="0.25">
      <c r="A182" s="128">
        <v>18</v>
      </c>
      <c r="B182" s="212" t="s">
        <v>358</v>
      </c>
      <c r="C182" s="211">
        <f t="shared" si="4"/>
        <v>2.3957148108600137</v>
      </c>
      <c r="D182" s="72">
        <v>2856.35</v>
      </c>
      <c r="E182" s="73">
        <v>6843</v>
      </c>
    </row>
    <row r="183" spans="1:5" x14ac:dyDescent="0.25">
      <c r="A183" s="127">
        <v>19</v>
      </c>
      <c r="B183" s="212" t="s">
        <v>483</v>
      </c>
      <c r="C183" s="211">
        <f t="shared" si="4"/>
        <v>2.2599259454968044</v>
      </c>
      <c r="D183" s="72">
        <v>2611.59</v>
      </c>
      <c r="E183" s="73">
        <v>5902</v>
      </c>
    </row>
    <row r="184" spans="1:5" x14ac:dyDescent="0.25">
      <c r="A184" s="128">
        <v>20</v>
      </c>
      <c r="B184" s="212" t="s">
        <v>339</v>
      </c>
      <c r="C184" s="211">
        <f t="shared" si="4"/>
        <v>2.4603637520547217</v>
      </c>
      <c r="D184" s="72">
        <v>942.95</v>
      </c>
      <c r="E184" s="73">
        <v>2320</v>
      </c>
    </row>
    <row r="185" spans="1:5" x14ac:dyDescent="0.25">
      <c r="A185" s="127">
        <v>21</v>
      </c>
      <c r="B185" s="212" t="s">
        <v>339</v>
      </c>
      <c r="C185" s="211">
        <f t="shared" si="4"/>
        <v>3.0207181754903165</v>
      </c>
      <c r="D185" s="72">
        <v>1953.84</v>
      </c>
      <c r="E185" s="73">
        <v>5902</v>
      </c>
    </row>
    <row r="186" spans="1:5" x14ac:dyDescent="0.25">
      <c r="A186" s="128">
        <v>22</v>
      </c>
      <c r="B186" s="212" t="s">
        <v>340</v>
      </c>
      <c r="C186" s="211">
        <f t="shared" si="4"/>
        <v>2.5311891541068725</v>
      </c>
      <c r="D186" s="72">
        <v>2496.06</v>
      </c>
      <c r="E186" s="73">
        <v>6318</v>
      </c>
    </row>
    <row r="187" spans="1:5" x14ac:dyDescent="0.25">
      <c r="A187" s="127">
        <v>23</v>
      </c>
      <c r="B187" s="212" t="s">
        <v>357</v>
      </c>
      <c r="C187" s="211">
        <f t="shared" si="4"/>
        <v>2.2206204740759552</v>
      </c>
      <c r="D187" s="72">
        <v>2677.63</v>
      </c>
      <c r="E187" s="73">
        <v>5946</v>
      </c>
    </row>
    <row r="188" spans="1:5" x14ac:dyDescent="0.25">
      <c r="A188" s="128">
        <v>24</v>
      </c>
      <c r="B188" s="212" t="s">
        <v>341</v>
      </c>
      <c r="C188" s="211">
        <f t="shared" si="4"/>
        <v>2.2712852055681449</v>
      </c>
      <c r="D188" s="72">
        <v>2316.75</v>
      </c>
      <c r="E188" s="73">
        <v>5262</v>
      </c>
    </row>
    <row r="189" spans="1:5" x14ac:dyDescent="0.25">
      <c r="A189" s="127">
        <v>25</v>
      </c>
      <c r="B189" s="212" t="s">
        <v>342</v>
      </c>
      <c r="C189" s="211">
        <f t="shared" si="4"/>
        <v>2.1898064606067176</v>
      </c>
      <c r="D189" s="72">
        <v>2582.42</v>
      </c>
      <c r="E189" s="73">
        <v>5655</v>
      </c>
    </row>
    <row r="190" spans="1:5" x14ac:dyDescent="0.25">
      <c r="A190" s="128">
        <v>26</v>
      </c>
      <c r="B190" s="212" t="s">
        <v>343</v>
      </c>
      <c r="C190" s="211">
        <f t="shared" si="4"/>
        <v>2.253287452378026</v>
      </c>
      <c r="D190" s="72">
        <v>1627.4</v>
      </c>
      <c r="E190" s="73">
        <v>3667</v>
      </c>
    </row>
    <row r="191" spans="1:5" x14ac:dyDescent="0.25">
      <c r="A191" s="127">
        <v>27</v>
      </c>
      <c r="B191" s="212" t="s">
        <v>344</v>
      </c>
      <c r="C191" s="211">
        <f t="shared" si="4"/>
        <v>2.7062984408955972</v>
      </c>
      <c r="D191" s="72">
        <v>2112.11</v>
      </c>
      <c r="E191" s="73">
        <v>5716</v>
      </c>
    </row>
    <row r="192" spans="1:5" x14ac:dyDescent="0.25">
      <c r="A192" s="128">
        <v>28</v>
      </c>
      <c r="B192" s="212" t="s">
        <v>399</v>
      </c>
      <c r="C192" s="211">
        <f t="shared" si="4"/>
        <v>2.1408090343641093</v>
      </c>
      <c r="D192" s="72">
        <v>2266.9</v>
      </c>
      <c r="E192" s="73">
        <v>4853</v>
      </c>
    </row>
    <row r="193" spans="1:9" x14ac:dyDescent="0.25">
      <c r="A193" s="127">
        <v>29</v>
      </c>
      <c r="B193" s="212" t="s">
        <v>345</v>
      </c>
      <c r="C193" s="211">
        <f t="shared" si="4"/>
        <v>2.7876110327564141</v>
      </c>
      <c r="D193" s="72">
        <v>2141.2600000000002</v>
      </c>
      <c r="E193" s="73">
        <v>5969</v>
      </c>
    </row>
    <row r="194" spans="1:9" x14ac:dyDescent="0.25">
      <c r="A194" s="128">
        <v>30</v>
      </c>
      <c r="B194" s="213" t="s">
        <v>346</v>
      </c>
      <c r="C194" s="211">
        <f t="shared" si="4"/>
        <v>2.4986277076383905</v>
      </c>
      <c r="D194" s="74">
        <v>1894.64</v>
      </c>
      <c r="E194" s="75">
        <v>4734</v>
      </c>
    </row>
    <row r="195" spans="1:9" x14ac:dyDescent="0.25">
      <c r="A195" s="127">
        <v>31</v>
      </c>
      <c r="B195" s="213" t="s">
        <v>347</v>
      </c>
      <c r="C195" s="211">
        <f t="shared" si="4"/>
        <v>3.1215225121243022</v>
      </c>
      <c r="D195" s="74">
        <v>1932.07</v>
      </c>
      <c r="E195" s="75">
        <v>6031</v>
      </c>
    </row>
    <row r="196" spans="1:9" x14ac:dyDescent="0.25">
      <c r="A196" s="128">
        <v>32</v>
      </c>
      <c r="B196" s="213" t="s">
        <v>348</v>
      </c>
      <c r="C196" s="211">
        <f t="shared" si="4"/>
        <v>2.790507646945898</v>
      </c>
      <c r="D196" s="74">
        <v>2031.53</v>
      </c>
      <c r="E196" s="75">
        <v>5669</v>
      </c>
    </row>
    <row r="197" spans="1:9" x14ac:dyDescent="0.25">
      <c r="A197" s="127">
        <v>33</v>
      </c>
      <c r="B197" s="213" t="s">
        <v>349</v>
      </c>
      <c r="C197" s="211">
        <f t="shared" si="4"/>
        <v>2.7881412270727606</v>
      </c>
      <c r="D197" s="74">
        <v>2752.73</v>
      </c>
      <c r="E197" s="75">
        <v>7675</v>
      </c>
    </row>
    <row r="198" spans="1:9" x14ac:dyDescent="0.25">
      <c r="A198" s="128">
        <v>34</v>
      </c>
      <c r="B198" s="213" t="s">
        <v>350</v>
      </c>
      <c r="C198" s="211">
        <f t="shared" si="4"/>
        <v>3.0464701621440913</v>
      </c>
      <c r="D198" s="74">
        <v>2153.64</v>
      </c>
      <c r="E198" s="75">
        <v>6561</v>
      </c>
    </row>
    <row r="199" spans="1:9" x14ac:dyDescent="0.25">
      <c r="A199" s="127">
        <v>35</v>
      </c>
      <c r="B199" s="213" t="s">
        <v>351</v>
      </c>
      <c r="C199" s="211">
        <f t="shared" si="4"/>
        <v>2.8893567812881829</v>
      </c>
      <c r="D199" s="72">
        <v>1833.28</v>
      </c>
      <c r="E199" s="73">
        <v>5297</v>
      </c>
    </row>
    <row r="200" spans="1:9" x14ac:dyDescent="0.25">
      <c r="A200" s="128">
        <v>36</v>
      </c>
      <c r="B200" s="213" t="s">
        <v>484</v>
      </c>
      <c r="C200" s="211">
        <f t="shared" si="4"/>
        <v>2.5001661460756295</v>
      </c>
      <c r="D200" s="215">
        <v>2257.0500000000002</v>
      </c>
      <c r="E200" s="216">
        <v>5643</v>
      </c>
    </row>
    <row r="201" spans="1:9" x14ac:dyDescent="0.25">
      <c r="B201" s="217" t="s">
        <v>185</v>
      </c>
      <c r="C201" s="61">
        <f>SUM(C166:C200)</f>
        <v>87.697850437503334</v>
      </c>
    </row>
    <row r="202" spans="1:9" ht="30" customHeight="1" x14ac:dyDescent="0.25">
      <c r="B202" s="217" t="s">
        <v>186</v>
      </c>
      <c r="C202" s="69">
        <f>C201/35</f>
        <v>2.5056528696429523</v>
      </c>
      <c r="D202" s="499" t="s">
        <v>247</v>
      </c>
      <c r="E202" s="500"/>
      <c r="F202" s="500"/>
    </row>
    <row r="203" spans="1:9" ht="45" x14ac:dyDescent="0.25">
      <c r="B203" s="218" t="s">
        <v>187</v>
      </c>
      <c r="C203" s="223">
        <f>1/C202</f>
        <v>0.39909758135910378</v>
      </c>
      <c r="I203" s="64"/>
    </row>
    <row r="204" spans="1:9" ht="5.0999999999999996" customHeight="1" x14ac:dyDescent="0.25">
      <c r="C204" s="60"/>
      <c r="D204" s="60"/>
      <c r="E204" s="60"/>
    </row>
    <row r="205" spans="1:9" x14ac:dyDescent="0.25">
      <c r="A205" s="490" t="s">
        <v>491</v>
      </c>
      <c r="B205" s="491"/>
      <c r="C205" s="491"/>
      <c r="D205" s="491"/>
      <c r="E205" s="491"/>
      <c r="F205" s="492"/>
    </row>
    <row r="206" spans="1:9" ht="45" x14ac:dyDescent="0.25">
      <c r="A206" s="59" t="s">
        <v>246</v>
      </c>
      <c r="B206" s="59" t="s">
        <v>368</v>
      </c>
      <c r="C206" s="59" t="s">
        <v>337</v>
      </c>
      <c r="D206" s="123" t="s">
        <v>184</v>
      </c>
      <c r="E206" s="123" t="s">
        <v>191</v>
      </c>
      <c r="F206" s="123" t="s">
        <v>190</v>
      </c>
    </row>
    <row r="207" spans="1:9" x14ac:dyDescent="0.25">
      <c r="A207" s="128">
        <v>1</v>
      </c>
      <c r="B207" s="126">
        <v>20</v>
      </c>
      <c r="C207" s="126" t="s">
        <v>371</v>
      </c>
      <c r="D207" s="139">
        <f>F207/E207</f>
        <v>2.1457115152939794</v>
      </c>
      <c r="E207" s="70">
        <v>2722.64</v>
      </c>
      <c r="F207" s="71">
        <v>5842</v>
      </c>
    </row>
    <row r="208" spans="1:9" x14ac:dyDescent="0.25">
      <c r="A208" s="128">
        <v>2</v>
      </c>
      <c r="B208" s="127">
        <v>30</v>
      </c>
      <c r="C208" s="127" t="s">
        <v>372</v>
      </c>
      <c r="D208" s="140">
        <f>F208/E208</f>
        <v>2.3766415224882405</v>
      </c>
      <c r="E208" s="129">
        <v>2225.83</v>
      </c>
      <c r="F208" s="130">
        <v>5290</v>
      </c>
    </row>
    <row r="209" spans="1:6" x14ac:dyDescent="0.25">
      <c r="A209" s="127">
        <v>3</v>
      </c>
      <c r="B209" s="127">
        <v>33</v>
      </c>
      <c r="C209" s="127" t="s">
        <v>465</v>
      </c>
      <c r="D209" s="140">
        <f>F209/E209</f>
        <v>2.3502474720508899</v>
      </c>
      <c r="E209" s="72">
        <v>3052.87</v>
      </c>
      <c r="F209" s="73">
        <v>7175</v>
      </c>
    </row>
    <row r="210" spans="1:6" x14ac:dyDescent="0.25">
      <c r="A210" s="128">
        <v>4</v>
      </c>
      <c r="B210" s="127">
        <v>31</v>
      </c>
      <c r="C210" s="127" t="s">
        <v>469</v>
      </c>
      <c r="D210" s="140">
        <f t="shared" ref="D210:D243" si="5">F210/E210</f>
        <v>2.2238869099488872</v>
      </c>
      <c r="E210" s="72">
        <v>1962.33</v>
      </c>
      <c r="F210" s="73">
        <v>4364</v>
      </c>
    </row>
    <row r="211" spans="1:6" x14ac:dyDescent="0.25">
      <c r="A211" s="127">
        <v>5</v>
      </c>
      <c r="B211" s="127">
        <v>22</v>
      </c>
      <c r="C211" s="127" t="s">
        <v>470</v>
      </c>
      <c r="D211" s="140">
        <f t="shared" si="5"/>
        <v>2.4583108927735524</v>
      </c>
      <c r="E211" s="72">
        <v>1986.73</v>
      </c>
      <c r="F211" s="73">
        <v>4884</v>
      </c>
    </row>
    <row r="212" spans="1:6" x14ac:dyDescent="0.25">
      <c r="A212" s="128">
        <v>6</v>
      </c>
      <c r="B212" s="127">
        <v>34</v>
      </c>
      <c r="C212" s="127" t="s">
        <v>471</v>
      </c>
      <c r="D212" s="140">
        <f t="shared" si="5"/>
        <v>2.3081098279960321</v>
      </c>
      <c r="E212" s="72">
        <v>2671.45</v>
      </c>
      <c r="F212" s="73">
        <v>6166</v>
      </c>
    </row>
    <row r="213" spans="1:6" x14ac:dyDescent="0.25">
      <c r="A213" s="127">
        <v>7</v>
      </c>
      <c r="B213" s="127">
        <v>29</v>
      </c>
      <c r="C213" s="127" t="s">
        <v>472</v>
      </c>
      <c r="D213" s="140">
        <f t="shared" si="5"/>
        <v>2.3481761256336346</v>
      </c>
      <c r="E213" s="72">
        <v>1609.76</v>
      </c>
      <c r="F213" s="73">
        <v>3780</v>
      </c>
    </row>
    <row r="214" spans="1:6" x14ac:dyDescent="0.25">
      <c r="A214" s="128">
        <v>8</v>
      </c>
      <c r="B214" s="127">
        <v>28</v>
      </c>
      <c r="C214" s="127" t="s">
        <v>473</v>
      </c>
      <c r="D214" s="140">
        <f t="shared" si="5"/>
        <v>2.402785406406807</v>
      </c>
      <c r="E214" s="72">
        <v>1074.17</v>
      </c>
      <c r="F214" s="73">
        <v>2581</v>
      </c>
    </row>
    <row r="215" spans="1:6" x14ac:dyDescent="0.25">
      <c r="A215" s="127">
        <v>9</v>
      </c>
      <c r="B215" s="127">
        <v>25</v>
      </c>
      <c r="C215" s="127" t="s">
        <v>474</v>
      </c>
      <c r="D215" s="140">
        <f t="shared" si="5"/>
        <v>2.069679815710995</v>
      </c>
      <c r="E215" s="72">
        <v>2799.95</v>
      </c>
      <c r="F215" s="73">
        <v>5795</v>
      </c>
    </row>
    <row r="216" spans="1:6" x14ac:dyDescent="0.25">
      <c r="A216" s="128">
        <v>10</v>
      </c>
      <c r="B216" s="127">
        <v>24</v>
      </c>
      <c r="C216" s="127" t="s">
        <v>477</v>
      </c>
      <c r="D216" s="140">
        <f t="shared" si="5"/>
        <v>1.686717521199931</v>
      </c>
      <c r="E216" s="72">
        <v>2371.4699999999998</v>
      </c>
      <c r="F216" s="73">
        <v>4000</v>
      </c>
    </row>
    <row r="217" spans="1:6" x14ac:dyDescent="0.25">
      <c r="A217" s="127">
        <v>11</v>
      </c>
      <c r="B217" s="127">
        <v>26</v>
      </c>
      <c r="C217" s="127" t="s">
        <v>478</v>
      </c>
      <c r="D217" s="140">
        <f t="shared" si="5"/>
        <v>2.3301426226362802</v>
      </c>
      <c r="E217" s="72">
        <v>1876.28</v>
      </c>
      <c r="F217" s="73">
        <v>4372</v>
      </c>
    </row>
    <row r="218" spans="1:6" x14ac:dyDescent="0.25">
      <c r="A218" s="128">
        <v>12</v>
      </c>
      <c r="B218" s="127">
        <v>57</v>
      </c>
      <c r="C218" s="127" t="s">
        <v>356</v>
      </c>
      <c r="D218" s="140">
        <f t="shared" si="5"/>
        <v>2.6033565822466995</v>
      </c>
      <c r="E218" s="72">
        <v>3066.81</v>
      </c>
      <c r="F218" s="73">
        <v>7984</v>
      </c>
    </row>
    <row r="219" spans="1:6" x14ac:dyDescent="0.25">
      <c r="A219" s="127">
        <v>13</v>
      </c>
      <c r="B219" s="127">
        <v>37</v>
      </c>
      <c r="C219" s="127" t="s">
        <v>355</v>
      </c>
      <c r="D219" s="140">
        <f t="shared" si="5"/>
        <v>3.0832272437937616</v>
      </c>
      <c r="E219" s="72">
        <v>2010.88</v>
      </c>
      <c r="F219" s="73">
        <v>6200</v>
      </c>
    </row>
    <row r="220" spans="1:6" x14ac:dyDescent="0.25">
      <c r="A220" s="128">
        <v>14</v>
      </c>
      <c r="B220" s="127">
        <v>44</v>
      </c>
      <c r="C220" s="127" t="s">
        <v>338</v>
      </c>
      <c r="D220" s="140">
        <f t="shared" si="5"/>
        <v>1.9825368716311416</v>
      </c>
      <c r="E220" s="72">
        <v>3094.52</v>
      </c>
      <c r="F220" s="73">
        <v>6135</v>
      </c>
    </row>
    <row r="221" spans="1:6" x14ac:dyDescent="0.25">
      <c r="A221" s="127">
        <v>15</v>
      </c>
      <c r="B221" s="127">
        <v>45</v>
      </c>
      <c r="C221" s="127" t="s">
        <v>481</v>
      </c>
      <c r="D221" s="140">
        <f t="shared" si="5"/>
        <v>2.9154644709220401</v>
      </c>
      <c r="E221" s="72">
        <v>2086.46</v>
      </c>
      <c r="F221" s="73">
        <v>6083</v>
      </c>
    </row>
    <row r="222" spans="1:6" x14ac:dyDescent="0.25">
      <c r="A222" s="128">
        <v>16</v>
      </c>
      <c r="B222" s="127">
        <v>55</v>
      </c>
      <c r="C222" s="127" t="s">
        <v>358</v>
      </c>
      <c r="D222" s="140">
        <f t="shared" si="5"/>
        <v>2.3295506069203169</v>
      </c>
      <c r="E222" s="72">
        <v>3087.72</v>
      </c>
      <c r="F222" s="73">
        <v>7193</v>
      </c>
    </row>
    <row r="223" spans="1:6" x14ac:dyDescent="0.25">
      <c r="A223" s="127">
        <v>17</v>
      </c>
      <c r="B223" s="127">
        <v>54</v>
      </c>
      <c r="C223" s="127" t="s">
        <v>483</v>
      </c>
      <c r="D223" s="140">
        <f t="shared" si="5"/>
        <v>2.2302933106923581</v>
      </c>
      <c r="E223" s="72">
        <v>2544.06</v>
      </c>
      <c r="F223" s="73">
        <v>5674</v>
      </c>
    </row>
    <row r="224" spans="1:6" x14ac:dyDescent="0.25">
      <c r="A224" s="128">
        <v>18</v>
      </c>
      <c r="B224" s="127">
        <v>58</v>
      </c>
      <c r="C224" s="127" t="s">
        <v>339</v>
      </c>
      <c r="D224" s="140">
        <f t="shared" si="5"/>
        <v>2.992444218356956</v>
      </c>
      <c r="E224" s="72">
        <v>2142.73</v>
      </c>
      <c r="F224" s="73">
        <v>6412</v>
      </c>
    </row>
    <row r="225" spans="1:6" x14ac:dyDescent="0.25">
      <c r="A225" s="127">
        <v>19</v>
      </c>
      <c r="B225" s="127">
        <v>27</v>
      </c>
      <c r="C225" s="127" t="s">
        <v>340</v>
      </c>
      <c r="D225" s="140">
        <f t="shared" si="5"/>
        <v>2.1876473646663364</v>
      </c>
      <c r="E225" s="72">
        <v>3308.12</v>
      </c>
      <c r="F225" s="73">
        <v>7237</v>
      </c>
    </row>
    <row r="226" spans="1:6" x14ac:dyDescent="0.25">
      <c r="A226" s="128">
        <v>20</v>
      </c>
      <c r="B226" s="127">
        <v>23</v>
      </c>
      <c r="C226" s="127" t="s">
        <v>357</v>
      </c>
      <c r="D226" s="140">
        <f t="shared" si="5"/>
        <v>1.9393466670802995</v>
      </c>
      <c r="E226" s="72">
        <v>2256.4299999999998</v>
      </c>
      <c r="F226" s="73">
        <v>4376</v>
      </c>
    </row>
    <row r="227" spans="1:6" x14ac:dyDescent="0.25">
      <c r="A227" s="127">
        <v>21</v>
      </c>
      <c r="B227" s="127">
        <v>61</v>
      </c>
      <c r="C227" s="127" t="s">
        <v>493</v>
      </c>
      <c r="D227" s="140">
        <f>F227/E227</f>
        <v>1.9290445972818584</v>
      </c>
      <c r="E227" s="72">
        <v>1579.02</v>
      </c>
      <c r="F227" s="73">
        <v>3046</v>
      </c>
    </row>
    <row r="228" spans="1:6" x14ac:dyDescent="0.25">
      <c r="A228" s="128">
        <v>22</v>
      </c>
      <c r="B228" s="127">
        <v>59</v>
      </c>
      <c r="C228" s="127" t="s">
        <v>494</v>
      </c>
      <c r="D228" s="140">
        <f>F228/E228</f>
        <v>2.0304924470088555</v>
      </c>
      <c r="E228" s="72">
        <v>998.28</v>
      </c>
      <c r="F228" s="73">
        <v>2027</v>
      </c>
    </row>
    <row r="229" spans="1:6" x14ac:dyDescent="0.25">
      <c r="A229" s="127">
        <v>23</v>
      </c>
      <c r="B229" s="127">
        <v>43</v>
      </c>
      <c r="C229" s="127" t="s">
        <v>341</v>
      </c>
      <c r="D229" s="140">
        <f t="shared" si="5"/>
        <v>2.1245538574174065</v>
      </c>
      <c r="E229" s="72">
        <v>2185.4</v>
      </c>
      <c r="F229" s="73">
        <v>4643</v>
      </c>
    </row>
    <row r="230" spans="1:6" x14ac:dyDescent="0.25">
      <c r="A230" s="128">
        <v>24</v>
      </c>
      <c r="B230" s="127">
        <v>60</v>
      </c>
      <c r="C230" s="127" t="s">
        <v>496</v>
      </c>
      <c r="D230" s="140">
        <f t="shared" si="5"/>
        <v>1.6809996938576717</v>
      </c>
      <c r="E230" s="72">
        <v>359.31</v>
      </c>
      <c r="F230" s="73">
        <v>604</v>
      </c>
    </row>
    <row r="231" spans="1:6" x14ac:dyDescent="0.25">
      <c r="A231" s="127">
        <v>25</v>
      </c>
      <c r="B231" s="127">
        <v>42</v>
      </c>
      <c r="C231" s="127" t="s">
        <v>342</v>
      </c>
      <c r="D231" s="140">
        <f t="shared" si="5"/>
        <v>2.0928904106228559</v>
      </c>
      <c r="E231" s="72">
        <v>2853.47</v>
      </c>
      <c r="F231" s="73">
        <v>5972</v>
      </c>
    </row>
    <row r="232" spans="1:6" x14ac:dyDescent="0.25">
      <c r="A232" s="128">
        <v>26</v>
      </c>
      <c r="B232" s="127">
        <v>46</v>
      </c>
      <c r="C232" s="127" t="s">
        <v>343</v>
      </c>
      <c r="D232" s="140">
        <f t="shared" si="5"/>
        <v>2.2592359992354529</v>
      </c>
      <c r="E232" s="72">
        <v>1831.15</v>
      </c>
      <c r="F232" s="73">
        <v>4137</v>
      </c>
    </row>
    <row r="233" spans="1:6" x14ac:dyDescent="0.25">
      <c r="A233" s="127">
        <v>27</v>
      </c>
      <c r="B233" s="127">
        <v>36</v>
      </c>
      <c r="C233" s="127" t="s">
        <v>344</v>
      </c>
      <c r="D233" s="140">
        <f t="shared" si="5"/>
        <v>2.6738094021561838</v>
      </c>
      <c r="E233" s="72">
        <v>2544.31</v>
      </c>
      <c r="F233" s="73">
        <v>6803</v>
      </c>
    </row>
    <row r="234" spans="1:6" x14ac:dyDescent="0.25">
      <c r="A234" s="128">
        <v>28</v>
      </c>
      <c r="B234" s="127">
        <v>32</v>
      </c>
      <c r="C234" s="127" t="s">
        <v>497</v>
      </c>
      <c r="D234" s="140">
        <f t="shared" si="5"/>
        <v>2.3305275423829168</v>
      </c>
      <c r="E234" s="72">
        <v>2111.11</v>
      </c>
      <c r="F234" s="73">
        <v>4920</v>
      </c>
    </row>
    <row r="235" spans="1:6" x14ac:dyDescent="0.25">
      <c r="A235" s="127">
        <v>29</v>
      </c>
      <c r="B235" s="127">
        <v>38</v>
      </c>
      <c r="C235" s="127" t="s">
        <v>399</v>
      </c>
      <c r="D235" s="140">
        <f t="shared" si="5"/>
        <v>2.0485483753849572</v>
      </c>
      <c r="E235" s="72">
        <v>2341.17</v>
      </c>
      <c r="F235" s="73">
        <v>4796</v>
      </c>
    </row>
    <row r="236" spans="1:6" x14ac:dyDescent="0.25">
      <c r="A236" s="128">
        <v>30</v>
      </c>
      <c r="B236" s="127">
        <v>40</v>
      </c>
      <c r="C236" s="127" t="s">
        <v>345</v>
      </c>
      <c r="D236" s="140">
        <f t="shared" si="5"/>
        <v>2.6213279307486874</v>
      </c>
      <c r="E236" s="72">
        <v>2171.8000000000002</v>
      </c>
      <c r="F236" s="73">
        <v>5693</v>
      </c>
    </row>
    <row r="237" spans="1:6" x14ac:dyDescent="0.25">
      <c r="A237" s="127">
        <v>31</v>
      </c>
      <c r="B237" s="127">
        <v>41</v>
      </c>
      <c r="C237" s="127" t="s">
        <v>346</v>
      </c>
      <c r="D237" s="140">
        <f t="shared" si="5"/>
        <v>2.5859465314156571</v>
      </c>
      <c r="E237" s="74">
        <v>1920.38</v>
      </c>
      <c r="F237" s="75">
        <v>4966</v>
      </c>
    </row>
    <row r="238" spans="1:6" x14ac:dyDescent="0.25">
      <c r="A238" s="128">
        <v>32</v>
      </c>
      <c r="B238" s="127">
        <v>39</v>
      </c>
      <c r="C238" s="127" t="s">
        <v>347</v>
      </c>
      <c r="D238" s="140">
        <f t="shared" si="5"/>
        <v>3.0763985983808881</v>
      </c>
      <c r="E238" s="74">
        <v>2317.3200000000002</v>
      </c>
      <c r="F238" s="75">
        <v>7129</v>
      </c>
    </row>
    <row r="239" spans="1:6" x14ac:dyDescent="0.25">
      <c r="A239" s="127">
        <v>33</v>
      </c>
      <c r="B239" s="127">
        <v>49</v>
      </c>
      <c r="C239" s="127" t="s">
        <v>348</v>
      </c>
      <c r="D239" s="140">
        <f t="shared" si="5"/>
        <v>2.9749660310369053</v>
      </c>
      <c r="E239" s="74">
        <v>2377.17</v>
      </c>
      <c r="F239" s="75">
        <v>7072</v>
      </c>
    </row>
    <row r="240" spans="1:6" x14ac:dyDescent="0.25">
      <c r="A240" s="128">
        <v>34</v>
      </c>
      <c r="B240" s="127">
        <v>47</v>
      </c>
      <c r="C240" s="127" t="s">
        <v>349</v>
      </c>
      <c r="D240" s="140">
        <f t="shared" si="5"/>
        <v>2.7714371119172814</v>
      </c>
      <c r="E240" s="74">
        <v>2943.96</v>
      </c>
      <c r="F240" s="75">
        <v>8159</v>
      </c>
    </row>
    <row r="241" spans="1:6" x14ac:dyDescent="0.25">
      <c r="A241" s="127">
        <v>35</v>
      </c>
      <c r="B241" s="127">
        <v>48</v>
      </c>
      <c r="C241" s="127" t="s">
        <v>350</v>
      </c>
      <c r="D241" s="140">
        <f t="shared" si="5"/>
        <v>2.8892142508540752</v>
      </c>
      <c r="E241" s="74">
        <v>1844.1</v>
      </c>
      <c r="F241" s="75">
        <v>5328</v>
      </c>
    </row>
    <row r="242" spans="1:6" x14ac:dyDescent="0.25">
      <c r="A242" s="128">
        <v>36</v>
      </c>
      <c r="B242" s="127">
        <v>50</v>
      </c>
      <c r="C242" s="127" t="s">
        <v>351</v>
      </c>
      <c r="D242" s="140">
        <f t="shared" si="5"/>
        <v>2.8468227084455036</v>
      </c>
      <c r="E242" s="72">
        <v>2358.77</v>
      </c>
      <c r="F242" s="73">
        <v>6715</v>
      </c>
    </row>
    <row r="243" spans="1:6" x14ac:dyDescent="0.25">
      <c r="A243" s="127">
        <v>37</v>
      </c>
      <c r="B243" s="219">
        <v>56</v>
      </c>
      <c r="C243" s="219" t="s">
        <v>484</v>
      </c>
      <c r="D243" s="222">
        <f t="shared" si="5"/>
        <v>2.5166640322910201</v>
      </c>
      <c r="E243" s="215">
        <v>2593.91</v>
      </c>
      <c r="F243" s="216">
        <v>6528</v>
      </c>
    </row>
    <row r="244" spans="1:6" x14ac:dyDescent="0.25">
      <c r="B244" s="493" t="s">
        <v>185</v>
      </c>
      <c r="C244" s="494"/>
      <c r="D244" s="138">
        <f>SUM(D207:D243)</f>
        <v>88.417156488887301</v>
      </c>
    </row>
    <row r="245" spans="1:6" ht="30" customHeight="1" x14ac:dyDescent="0.25">
      <c r="B245" s="493" t="s">
        <v>186</v>
      </c>
      <c r="C245" s="494"/>
      <c r="D245" s="69">
        <f>D244/37</f>
        <v>2.3896528780780351</v>
      </c>
      <c r="E245" s="495" t="s">
        <v>247</v>
      </c>
      <c r="F245" s="496"/>
    </row>
    <row r="246" spans="1:6" ht="30" customHeight="1" x14ac:dyDescent="0.25">
      <c r="B246" s="497" t="s">
        <v>187</v>
      </c>
      <c r="C246" s="498"/>
      <c r="D246" s="223">
        <f>1/D245</f>
        <v>0.41847082024912602</v>
      </c>
    </row>
    <row r="247" spans="1:6" ht="5.0999999999999996" customHeight="1" x14ac:dyDescent="0.25">
      <c r="C247" s="60"/>
      <c r="D247" s="60"/>
      <c r="E247" s="60"/>
    </row>
    <row r="248" spans="1:6" x14ac:dyDescent="0.25">
      <c r="A248" s="490" t="s">
        <v>498</v>
      </c>
      <c r="B248" s="491"/>
      <c r="C248" s="491"/>
      <c r="D248" s="491"/>
      <c r="E248" s="491"/>
      <c r="F248" s="492"/>
    </row>
    <row r="249" spans="1:6" ht="45" x14ac:dyDescent="0.25">
      <c r="A249" s="59" t="s">
        <v>246</v>
      </c>
      <c r="B249" s="59" t="s">
        <v>368</v>
      </c>
      <c r="C249" s="59" t="s">
        <v>337</v>
      </c>
      <c r="D249" s="123" t="s">
        <v>184</v>
      </c>
      <c r="E249" s="123" t="s">
        <v>191</v>
      </c>
      <c r="F249" s="123" t="s">
        <v>190</v>
      </c>
    </row>
    <row r="250" spans="1:6" x14ac:dyDescent="0.25">
      <c r="A250" s="128">
        <v>1</v>
      </c>
      <c r="B250" s="126">
        <v>20</v>
      </c>
      <c r="C250" s="126" t="s">
        <v>371</v>
      </c>
      <c r="D250" s="139">
        <f>F250/E250</f>
        <v>2.3229363199657449</v>
      </c>
      <c r="E250" s="70">
        <v>2241.9899999999998</v>
      </c>
      <c r="F250" s="71">
        <v>5208</v>
      </c>
    </row>
    <row r="251" spans="1:6" x14ac:dyDescent="0.25">
      <c r="A251" s="128">
        <v>2</v>
      </c>
      <c r="B251" s="127">
        <v>30</v>
      </c>
      <c r="C251" s="127" t="s">
        <v>372</v>
      </c>
      <c r="D251" s="140">
        <f>F251/E251</f>
        <v>2.4215127391181501</v>
      </c>
      <c r="E251" s="129">
        <v>601.69000000000005</v>
      </c>
      <c r="F251" s="130">
        <v>1457</v>
      </c>
    </row>
    <row r="252" spans="1:6" x14ac:dyDescent="0.25">
      <c r="A252" s="127">
        <v>3</v>
      </c>
      <c r="B252" s="127">
        <v>33</v>
      </c>
      <c r="C252" s="127" t="s">
        <v>465</v>
      </c>
      <c r="D252" s="140">
        <f>F252/E252</f>
        <v>2.0946346355472487</v>
      </c>
      <c r="E252" s="72">
        <v>877.48</v>
      </c>
      <c r="F252" s="73">
        <v>1838</v>
      </c>
    </row>
    <row r="253" spans="1:6" x14ac:dyDescent="0.25">
      <c r="A253" s="128">
        <v>4</v>
      </c>
      <c r="B253" s="127">
        <v>31</v>
      </c>
      <c r="C253" s="127" t="s">
        <v>469</v>
      </c>
      <c r="D253" s="140">
        <f t="shared" ref="D253:D286" si="6">F253/E253</f>
        <v>2.2132995209918289</v>
      </c>
      <c r="E253" s="72">
        <v>709.8</v>
      </c>
      <c r="F253" s="73">
        <v>1571</v>
      </c>
    </row>
    <row r="254" spans="1:6" x14ac:dyDescent="0.25">
      <c r="A254" s="127">
        <v>5</v>
      </c>
      <c r="B254" s="127">
        <v>34</v>
      </c>
      <c r="C254" s="127" t="s">
        <v>471</v>
      </c>
      <c r="D254" s="140">
        <f t="shared" si="6"/>
        <v>2.4447835282528705</v>
      </c>
      <c r="E254" s="72">
        <v>2070.94</v>
      </c>
      <c r="F254" s="73">
        <v>5063</v>
      </c>
    </row>
    <row r="255" spans="1:6" x14ac:dyDescent="0.25">
      <c r="A255" s="128">
        <v>6</v>
      </c>
      <c r="B255" s="127">
        <v>29</v>
      </c>
      <c r="C255" s="127" t="s">
        <v>472</v>
      </c>
      <c r="D255" s="140">
        <f t="shared" si="6"/>
        <v>2.4998802280458006</v>
      </c>
      <c r="E255" s="72">
        <v>1043.6500000000001</v>
      </c>
      <c r="F255" s="73">
        <v>2609</v>
      </c>
    </row>
    <row r="256" spans="1:6" x14ac:dyDescent="0.25">
      <c r="A256" s="127">
        <v>7</v>
      </c>
      <c r="B256" s="127">
        <v>28</v>
      </c>
      <c r="C256" s="127" t="s">
        <v>473</v>
      </c>
      <c r="D256" s="140">
        <f t="shared" si="6"/>
        <v>2.4273560151604836</v>
      </c>
      <c r="E256" s="72">
        <v>2263.7800000000002</v>
      </c>
      <c r="F256" s="73">
        <v>5495</v>
      </c>
    </row>
    <row r="257" spans="1:6" x14ac:dyDescent="0.25">
      <c r="A257" s="128">
        <v>8</v>
      </c>
      <c r="B257" s="127">
        <v>25</v>
      </c>
      <c r="C257" s="127" t="s">
        <v>474</v>
      </c>
      <c r="D257" s="140">
        <f t="shared" si="6"/>
        <v>2.3107344390695364</v>
      </c>
      <c r="E257" s="72">
        <v>2333.89</v>
      </c>
      <c r="F257" s="73">
        <v>5393</v>
      </c>
    </row>
    <row r="258" spans="1:6" x14ac:dyDescent="0.25">
      <c r="A258" s="127">
        <v>9</v>
      </c>
      <c r="B258" s="127">
        <v>24</v>
      </c>
      <c r="C258" s="127" t="s">
        <v>477</v>
      </c>
      <c r="D258" s="140">
        <f t="shared" si="6"/>
        <v>0.63132773641306006</v>
      </c>
      <c r="E258" s="72">
        <v>1642.57</v>
      </c>
      <c r="F258" s="73">
        <v>1037</v>
      </c>
    </row>
    <row r="259" spans="1:6" x14ac:dyDescent="0.25">
      <c r="A259" s="128">
        <v>10</v>
      </c>
      <c r="B259" s="127">
        <v>26</v>
      </c>
      <c r="C259" s="127" t="s">
        <v>478</v>
      </c>
      <c r="D259" s="140">
        <f t="shared" si="6"/>
        <v>2.3493414150833432</v>
      </c>
      <c r="E259" s="72">
        <v>1715.8</v>
      </c>
      <c r="F259" s="73">
        <v>4031</v>
      </c>
    </row>
    <row r="260" spans="1:6" x14ac:dyDescent="0.25">
      <c r="A260" s="127">
        <v>11</v>
      </c>
      <c r="B260" s="127">
        <v>57</v>
      </c>
      <c r="C260" s="127" t="s">
        <v>356</v>
      </c>
      <c r="D260" s="140">
        <f t="shared" si="6"/>
        <v>2.0831771207784016</v>
      </c>
      <c r="E260" s="72">
        <v>2267.21</v>
      </c>
      <c r="F260" s="73">
        <v>4723</v>
      </c>
    </row>
    <row r="261" spans="1:6" x14ac:dyDescent="0.25">
      <c r="A261" s="128">
        <v>12</v>
      </c>
      <c r="B261" s="127">
        <v>37</v>
      </c>
      <c r="C261" s="127" t="s">
        <v>355</v>
      </c>
      <c r="D261" s="140">
        <f t="shared" si="6"/>
        <v>3.0512374610311115</v>
      </c>
      <c r="E261" s="72">
        <v>1886.12</v>
      </c>
      <c r="F261" s="73">
        <v>5755</v>
      </c>
    </row>
    <row r="262" spans="1:6" x14ac:dyDescent="0.25">
      <c r="A262" s="127">
        <v>13</v>
      </c>
      <c r="B262" s="127">
        <v>62</v>
      </c>
      <c r="C262" s="127" t="s">
        <v>492</v>
      </c>
      <c r="D262" s="140">
        <f t="shared" si="6"/>
        <v>2.5780547618935548</v>
      </c>
      <c r="E262" s="72">
        <v>2124.4699999999998</v>
      </c>
      <c r="F262" s="73">
        <v>5477</v>
      </c>
    </row>
    <row r="263" spans="1:6" x14ac:dyDescent="0.25">
      <c r="A263" s="128">
        <v>14</v>
      </c>
      <c r="B263" s="127">
        <v>44</v>
      </c>
      <c r="C263" s="127" t="s">
        <v>338</v>
      </c>
      <c r="D263" s="140">
        <f t="shared" si="6"/>
        <v>2.0557924424899414</v>
      </c>
      <c r="E263" s="72">
        <v>2992.52</v>
      </c>
      <c r="F263" s="73">
        <v>6152</v>
      </c>
    </row>
    <row r="264" spans="1:6" x14ac:dyDescent="0.25">
      <c r="A264" s="127">
        <v>15</v>
      </c>
      <c r="B264" s="127">
        <v>45</v>
      </c>
      <c r="C264" s="127" t="s">
        <v>481</v>
      </c>
      <c r="D264" s="140">
        <f t="shared" si="6"/>
        <v>2.7184611167866843</v>
      </c>
      <c r="E264" s="72">
        <v>1605.32</v>
      </c>
      <c r="F264" s="73">
        <v>4364</v>
      </c>
    </row>
    <row r="265" spans="1:6" x14ac:dyDescent="0.25">
      <c r="A265" s="128">
        <v>16</v>
      </c>
      <c r="B265" s="127">
        <v>55</v>
      </c>
      <c r="C265" s="127" t="s">
        <v>358</v>
      </c>
      <c r="D265" s="140">
        <f t="shared" si="6"/>
        <v>2.2817885482006726</v>
      </c>
      <c r="E265" s="72">
        <v>2310.0300000000002</v>
      </c>
      <c r="F265" s="73">
        <v>5271</v>
      </c>
    </row>
    <row r="266" spans="1:6" x14ac:dyDescent="0.25">
      <c r="A266" s="127">
        <v>17</v>
      </c>
      <c r="B266" s="127">
        <v>54</v>
      </c>
      <c r="C266" s="127" t="s">
        <v>483</v>
      </c>
      <c r="D266" s="140">
        <f t="shared" si="6"/>
        <v>2.1514100268576546</v>
      </c>
      <c r="E266" s="72">
        <v>2502.08</v>
      </c>
      <c r="F266" s="73">
        <v>5383</v>
      </c>
    </row>
    <row r="267" spans="1:6" x14ac:dyDescent="0.25">
      <c r="A267" s="128">
        <v>18</v>
      </c>
      <c r="B267" s="127">
        <v>58</v>
      </c>
      <c r="C267" s="127" t="s">
        <v>339</v>
      </c>
      <c r="D267" s="140">
        <f t="shared" si="6"/>
        <v>2.9433336303628099</v>
      </c>
      <c r="E267" s="72">
        <v>1458.89</v>
      </c>
      <c r="F267" s="73">
        <v>4294</v>
      </c>
    </row>
    <row r="268" spans="1:6" x14ac:dyDescent="0.25">
      <c r="A268" s="127">
        <v>19</v>
      </c>
      <c r="B268" s="127">
        <v>27</v>
      </c>
      <c r="C268" s="127" t="s">
        <v>340</v>
      </c>
      <c r="D268" s="140">
        <f t="shared" si="6"/>
        <v>2.3058425743300357</v>
      </c>
      <c r="E268" s="72">
        <v>2590.81</v>
      </c>
      <c r="F268" s="73">
        <v>5974</v>
      </c>
    </row>
    <row r="269" spans="1:6" x14ac:dyDescent="0.25">
      <c r="A269" s="128">
        <v>20</v>
      </c>
      <c r="B269" s="127">
        <v>23</v>
      </c>
      <c r="C269" s="127" t="s">
        <v>357</v>
      </c>
      <c r="D269" s="140">
        <f t="shared" si="6"/>
        <v>2.4127894091399358</v>
      </c>
      <c r="E269" s="72">
        <v>2030.43</v>
      </c>
      <c r="F269" s="73">
        <v>4899</v>
      </c>
    </row>
    <row r="270" spans="1:6" x14ac:dyDescent="0.25">
      <c r="A270" s="127">
        <v>21</v>
      </c>
      <c r="B270" s="127">
        <v>61</v>
      </c>
      <c r="C270" s="127" t="s">
        <v>493</v>
      </c>
      <c r="D270" s="140">
        <f>F270/E270</f>
        <v>2.377107075146323</v>
      </c>
      <c r="E270" s="72">
        <v>2421.0100000000002</v>
      </c>
      <c r="F270" s="73">
        <v>5755</v>
      </c>
    </row>
    <row r="271" spans="1:6" x14ac:dyDescent="0.25">
      <c r="A271" s="128">
        <v>22</v>
      </c>
      <c r="B271" s="127">
        <v>59</v>
      </c>
      <c r="C271" s="127" t="s">
        <v>391</v>
      </c>
      <c r="D271" s="140">
        <f>F271/E271</f>
        <v>2.4493954484493745</v>
      </c>
      <c r="E271" s="72">
        <v>1923.74</v>
      </c>
      <c r="F271" s="73">
        <v>4712</v>
      </c>
    </row>
    <row r="272" spans="1:6" x14ac:dyDescent="0.25">
      <c r="A272" s="127">
        <v>23</v>
      </c>
      <c r="B272" s="127">
        <v>43</v>
      </c>
      <c r="C272" s="127" t="s">
        <v>341</v>
      </c>
      <c r="D272" s="140">
        <f t="shared" si="6"/>
        <v>2.2817419113676953</v>
      </c>
      <c r="E272" s="72">
        <v>1926.16</v>
      </c>
      <c r="F272" s="73">
        <v>4395</v>
      </c>
    </row>
    <row r="273" spans="1:6" x14ac:dyDescent="0.25">
      <c r="A273" s="128">
        <v>24</v>
      </c>
      <c r="B273" s="127">
        <v>60</v>
      </c>
      <c r="C273" s="127" t="s">
        <v>496</v>
      </c>
      <c r="D273" s="140">
        <f t="shared" si="6"/>
        <v>2.4285416232005006</v>
      </c>
      <c r="E273" s="72">
        <v>2396.5</v>
      </c>
      <c r="F273" s="73">
        <v>5820</v>
      </c>
    </row>
    <row r="274" spans="1:6" x14ac:dyDescent="0.25">
      <c r="A274" s="127">
        <v>25</v>
      </c>
      <c r="B274" s="127">
        <v>42</v>
      </c>
      <c r="C274" s="127" t="s">
        <v>342</v>
      </c>
      <c r="D274" s="140">
        <f t="shared" si="6"/>
        <v>2.2921247967376925</v>
      </c>
      <c r="E274" s="72">
        <v>2373.7800000000002</v>
      </c>
      <c r="F274" s="73">
        <v>5441</v>
      </c>
    </row>
    <row r="275" spans="1:6" x14ac:dyDescent="0.25">
      <c r="A275" s="128">
        <v>26</v>
      </c>
      <c r="B275" s="127">
        <v>46</v>
      </c>
      <c r="C275" s="127" t="s">
        <v>343</v>
      </c>
      <c r="D275" s="140">
        <f t="shared" si="6"/>
        <v>2.1660472099835086</v>
      </c>
      <c r="E275" s="72">
        <v>1625.08</v>
      </c>
      <c r="F275" s="73">
        <v>3520</v>
      </c>
    </row>
    <row r="276" spans="1:6" x14ac:dyDescent="0.25">
      <c r="A276" s="127">
        <v>27</v>
      </c>
      <c r="B276" s="127">
        <v>36</v>
      </c>
      <c r="C276" s="127" t="s">
        <v>344</v>
      </c>
      <c r="D276" s="140">
        <f t="shared" si="6"/>
        <v>2.3906088053715471</v>
      </c>
      <c r="E276" s="72">
        <v>2219.1</v>
      </c>
      <c r="F276" s="73">
        <v>5305</v>
      </c>
    </row>
    <row r="277" spans="1:6" x14ac:dyDescent="0.25">
      <c r="A277" s="128">
        <v>28</v>
      </c>
      <c r="B277" s="127">
        <v>32</v>
      </c>
      <c r="C277" s="127" t="s">
        <v>393</v>
      </c>
      <c r="D277" s="140">
        <f t="shared" si="6"/>
        <v>2.5154490815203592</v>
      </c>
      <c r="E277" s="72">
        <v>2362.6</v>
      </c>
      <c r="F277" s="73">
        <v>5943</v>
      </c>
    </row>
    <row r="278" spans="1:6" x14ac:dyDescent="0.25">
      <c r="A278" s="127">
        <v>29</v>
      </c>
      <c r="B278" s="127">
        <v>38</v>
      </c>
      <c r="C278" s="127" t="s">
        <v>399</v>
      </c>
      <c r="D278" s="140">
        <f t="shared" si="6"/>
        <v>2.1016002291085556</v>
      </c>
      <c r="E278" s="72">
        <v>2549.0100000000002</v>
      </c>
      <c r="F278" s="73">
        <v>5357</v>
      </c>
    </row>
    <row r="279" spans="1:6" x14ac:dyDescent="0.25">
      <c r="A279" s="128">
        <v>30</v>
      </c>
      <c r="B279" s="127">
        <v>40</v>
      </c>
      <c r="C279" s="127" t="s">
        <v>345</v>
      </c>
      <c r="D279" s="140">
        <f t="shared" si="6"/>
        <v>2.6039086774440494</v>
      </c>
      <c r="E279" s="72">
        <v>1776.56</v>
      </c>
      <c r="F279" s="73">
        <v>4626</v>
      </c>
    </row>
    <row r="280" spans="1:6" x14ac:dyDescent="0.25">
      <c r="A280" s="127">
        <v>31</v>
      </c>
      <c r="B280" s="127">
        <v>41</v>
      </c>
      <c r="C280" s="127" t="s">
        <v>346</v>
      </c>
      <c r="D280" s="140">
        <f t="shared" si="6"/>
        <v>2.6534995679545736</v>
      </c>
      <c r="E280" s="74">
        <v>2025.25</v>
      </c>
      <c r="F280" s="75">
        <v>5374</v>
      </c>
    </row>
    <row r="281" spans="1:6" x14ac:dyDescent="0.25">
      <c r="A281" s="128">
        <v>32</v>
      </c>
      <c r="B281" s="127">
        <v>39</v>
      </c>
      <c r="C281" s="127" t="s">
        <v>347</v>
      </c>
      <c r="D281" s="140">
        <f t="shared" si="6"/>
        <v>3.0158730158730158</v>
      </c>
      <c r="E281" s="74">
        <v>2463.3000000000002</v>
      </c>
      <c r="F281" s="75">
        <v>7429</v>
      </c>
    </row>
    <row r="282" spans="1:6" x14ac:dyDescent="0.25">
      <c r="A282" s="127">
        <v>33</v>
      </c>
      <c r="B282" s="127">
        <v>49</v>
      </c>
      <c r="C282" s="127" t="s">
        <v>348</v>
      </c>
      <c r="D282" s="140">
        <f t="shared" si="6"/>
        <v>2.8470756799695898</v>
      </c>
      <c r="E282" s="74">
        <v>2051.9299999999998</v>
      </c>
      <c r="F282" s="75">
        <v>5842</v>
      </c>
    </row>
    <row r="283" spans="1:6" x14ac:dyDescent="0.25">
      <c r="A283" s="128">
        <v>34</v>
      </c>
      <c r="B283" s="127">
        <v>47</v>
      </c>
      <c r="C283" s="127" t="s">
        <v>349</v>
      </c>
      <c r="D283" s="140">
        <f t="shared" si="6"/>
        <v>2.7415427428472041</v>
      </c>
      <c r="E283" s="74">
        <v>459.96</v>
      </c>
      <c r="F283" s="75">
        <v>1261</v>
      </c>
    </row>
    <row r="284" spans="1:6" x14ac:dyDescent="0.25">
      <c r="A284" s="127">
        <v>35</v>
      </c>
      <c r="B284" s="127">
        <v>48</v>
      </c>
      <c r="C284" s="127" t="s">
        <v>350</v>
      </c>
      <c r="D284" s="140">
        <f t="shared" si="6"/>
        <v>2.854597964857351</v>
      </c>
      <c r="E284" s="74">
        <v>1852.45</v>
      </c>
      <c r="F284" s="75">
        <v>5288</v>
      </c>
    </row>
    <row r="285" spans="1:6" x14ac:dyDescent="0.25">
      <c r="A285" s="128">
        <v>36</v>
      </c>
      <c r="B285" s="127">
        <v>50</v>
      </c>
      <c r="C285" s="127" t="s">
        <v>351</v>
      </c>
      <c r="D285" s="140">
        <f t="shared" si="6"/>
        <v>2.7546422719825232</v>
      </c>
      <c r="E285" s="72">
        <v>2636.64</v>
      </c>
      <c r="F285" s="73">
        <v>7263</v>
      </c>
    </row>
    <row r="286" spans="1:6" x14ac:dyDescent="0.25">
      <c r="A286" s="127">
        <v>37</v>
      </c>
      <c r="B286" s="219">
        <v>56</v>
      </c>
      <c r="C286" s="219" t="s">
        <v>484</v>
      </c>
      <c r="D286" s="222">
        <f t="shared" si="6"/>
        <v>2.4210894902706217</v>
      </c>
      <c r="E286" s="215">
        <v>2199.0100000000002</v>
      </c>
      <c r="F286" s="216">
        <v>5324</v>
      </c>
    </row>
    <row r="287" spans="1:6" x14ac:dyDescent="0.25">
      <c r="B287" s="493" t="s">
        <v>185</v>
      </c>
      <c r="C287" s="494"/>
      <c r="D287" s="138">
        <f>SUM(D250:D286)</f>
        <v>89.192539261603329</v>
      </c>
    </row>
    <row r="288" spans="1:6" ht="30" customHeight="1" x14ac:dyDescent="0.25">
      <c r="B288" s="493" t="s">
        <v>186</v>
      </c>
      <c r="C288" s="494"/>
      <c r="D288" s="69">
        <f>D287/37</f>
        <v>2.4106091692325222</v>
      </c>
      <c r="E288" s="495" t="s">
        <v>247</v>
      </c>
      <c r="F288" s="496"/>
    </row>
    <row r="289" spans="1:6" ht="30" customHeight="1" x14ac:dyDescent="0.25">
      <c r="B289" s="497" t="s">
        <v>187</v>
      </c>
      <c r="C289" s="498"/>
      <c r="D289" s="223">
        <f>1/D288</f>
        <v>0.41483290313641968</v>
      </c>
    </row>
    <row r="290" spans="1:6" ht="5.0999999999999996" customHeight="1" x14ac:dyDescent="0.25">
      <c r="C290" s="60"/>
      <c r="D290" s="60"/>
      <c r="E290" s="60"/>
    </row>
    <row r="291" spans="1:6" x14ac:dyDescent="0.25">
      <c r="A291" s="490" t="s">
        <v>499</v>
      </c>
      <c r="B291" s="491"/>
      <c r="C291" s="491"/>
      <c r="D291" s="491"/>
      <c r="E291" s="491"/>
      <c r="F291" s="492"/>
    </row>
    <row r="292" spans="1:6" ht="45" x14ac:dyDescent="0.25">
      <c r="A292" s="59" t="s">
        <v>246</v>
      </c>
      <c r="B292" s="59" t="s">
        <v>368</v>
      </c>
      <c r="C292" s="59" t="s">
        <v>337</v>
      </c>
      <c r="D292" s="123" t="s">
        <v>184</v>
      </c>
      <c r="E292" s="123" t="s">
        <v>191</v>
      </c>
      <c r="F292" s="123" t="s">
        <v>190</v>
      </c>
    </row>
    <row r="293" spans="1:6" x14ac:dyDescent="0.25">
      <c r="A293" s="128">
        <v>1</v>
      </c>
      <c r="B293" s="126">
        <v>20</v>
      </c>
      <c r="C293" s="126" t="s">
        <v>371</v>
      </c>
      <c r="D293" s="139">
        <f>F293/E293</f>
        <v>2.3440750104003327</v>
      </c>
      <c r="E293" s="70">
        <v>1874.94</v>
      </c>
      <c r="F293" s="71">
        <v>4395</v>
      </c>
    </row>
    <row r="294" spans="1:6" x14ac:dyDescent="0.25">
      <c r="A294" s="128">
        <v>2</v>
      </c>
      <c r="B294" s="127">
        <v>30</v>
      </c>
      <c r="C294" s="127" t="s">
        <v>372</v>
      </c>
      <c r="D294" s="140">
        <f>F294/E294</f>
        <v>2.4756549170209845</v>
      </c>
      <c r="E294" s="129">
        <v>1458.2</v>
      </c>
      <c r="F294" s="130">
        <v>3610</v>
      </c>
    </row>
    <row r="295" spans="1:6" x14ac:dyDescent="0.25">
      <c r="A295" s="128">
        <v>3</v>
      </c>
      <c r="B295" s="127">
        <v>34</v>
      </c>
      <c r="C295" s="127" t="s">
        <v>471</v>
      </c>
      <c r="D295" s="140">
        <f t="shared" ref="D295:D327" si="7">F295/E295</f>
        <v>2.3435461805224143</v>
      </c>
      <c r="E295" s="72">
        <v>1571.55</v>
      </c>
      <c r="F295" s="73">
        <v>3683</v>
      </c>
    </row>
    <row r="296" spans="1:6" x14ac:dyDescent="0.25">
      <c r="A296" s="128">
        <v>4</v>
      </c>
      <c r="B296" s="127">
        <v>28</v>
      </c>
      <c r="C296" s="127" t="s">
        <v>473</v>
      </c>
      <c r="D296" s="140">
        <f t="shared" si="7"/>
        <v>2.547365509611395</v>
      </c>
      <c r="E296" s="72">
        <v>2169.3000000000002</v>
      </c>
      <c r="F296" s="73">
        <v>5526</v>
      </c>
    </row>
    <row r="297" spans="1:6" x14ac:dyDescent="0.25">
      <c r="A297" s="128">
        <v>5</v>
      </c>
      <c r="B297" s="127">
        <v>25</v>
      </c>
      <c r="C297" s="127" t="s">
        <v>474</v>
      </c>
      <c r="D297" s="140">
        <f t="shared" si="7"/>
        <v>2.295581294036745</v>
      </c>
      <c r="E297" s="72">
        <v>2777.51</v>
      </c>
      <c r="F297" s="73">
        <v>6376</v>
      </c>
    </row>
    <row r="298" spans="1:6" x14ac:dyDescent="0.25">
      <c r="A298" s="128">
        <v>6</v>
      </c>
      <c r="B298" s="127">
        <v>24</v>
      </c>
      <c r="C298" s="127" t="s">
        <v>477</v>
      </c>
      <c r="D298" s="140">
        <f t="shared" si="7"/>
        <v>2.2963842220598978</v>
      </c>
      <c r="E298" s="72">
        <v>1971.36</v>
      </c>
      <c r="F298" s="73">
        <v>4527</v>
      </c>
    </row>
    <row r="299" spans="1:6" x14ac:dyDescent="0.25">
      <c r="A299" s="128">
        <v>7</v>
      </c>
      <c r="B299" s="127">
        <v>57</v>
      </c>
      <c r="C299" s="127" t="s">
        <v>356</v>
      </c>
      <c r="D299" s="140">
        <f t="shared" si="7"/>
        <v>2.2719313443950058</v>
      </c>
      <c r="E299" s="72">
        <v>2712.67</v>
      </c>
      <c r="F299" s="73">
        <v>6163</v>
      </c>
    </row>
    <row r="300" spans="1:6" x14ac:dyDescent="0.25">
      <c r="A300" s="128">
        <v>8</v>
      </c>
      <c r="B300" s="127">
        <v>37</v>
      </c>
      <c r="C300" s="127" t="s">
        <v>355</v>
      </c>
      <c r="D300" s="140">
        <f t="shared" si="7"/>
        <v>2.9521841971316509</v>
      </c>
      <c r="E300" s="72">
        <v>2337.9299999999998</v>
      </c>
      <c r="F300" s="73">
        <v>6902</v>
      </c>
    </row>
    <row r="301" spans="1:6" x14ac:dyDescent="0.25">
      <c r="A301" s="128">
        <v>9</v>
      </c>
      <c r="B301" s="127">
        <v>62</v>
      </c>
      <c r="C301" s="127" t="s">
        <v>390</v>
      </c>
      <c r="D301" s="140">
        <f t="shared" si="7"/>
        <v>2.1619545503040647</v>
      </c>
      <c r="E301" s="72">
        <v>2343.25</v>
      </c>
      <c r="F301" s="73">
        <v>5066</v>
      </c>
    </row>
    <row r="302" spans="1:6" x14ac:dyDescent="0.25">
      <c r="A302" s="128">
        <v>10</v>
      </c>
      <c r="B302" s="127">
        <v>44</v>
      </c>
      <c r="C302" s="127" t="s">
        <v>338</v>
      </c>
      <c r="D302" s="140">
        <f t="shared" si="7"/>
        <v>2.4686922766334223</v>
      </c>
      <c r="E302" s="72">
        <v>3145.39</v>
      </c>
      <c r="F302" s="73">
        <v>7765</v>
      </c>
    </row>
    <row r="303" spans="1:6" x14ac:dyDescent="0.25">
      <c r="A303" s="128">
        <v>11</v>
      </c>
      <c r="B303" s="127">
        <v>45</v>
      </c>
      <c r="C303" s="127" t="s">
        <v>481</v>
      </c>
      <c r="D303" s="140">
        <f t="shared" si="7"/>
        <v>2.7646780826738797</v>
      </c>
      <c r="E303" s="72">
        <v>1989.02</v>
      </c>
      <c r="F303" s="73">
        <v>5499</v>
      </c>
    </row>
    <row r="304" spans="1:6" x14ac:dyDescent="0.25">
      <c r="A304" s="128">
        <v>12</v>
      </c>
      <c r="B304" s="127">
        <v>55</v>
      </c>
      <c r="C304" s="127" t="s">
        <v>358</v>
      </c>
      <c r="D304" s="140">
        <f t="shared" si="7"/>
        <v>2.3505618525091476</v>
      </c>
      <c r="E304" s="72">
        <v>2462.39</v>
      </c>
      <c r="F304" s="73">
        <v>5788</v>
      </c>
    </row>
    <row r="305" spans="1:6" x14ac:dyDescent="0.25">
      <c r="A305" s="128">
        <v>13</v>
      </c>
      <c r="B305" s="127">
        <v>54</v>
      </c>
      <c r="C305" s="127" t="s">
        <v>483</v>
      </c>
      <c r="D305" s="140">
        <f t="shared" si="7"/>
        <v>2.0496173359704186</v>
      </c>
      <c r="E305" s="72">
        <v>2325.8000000000002</v>
      </c>
      <c r="F305" s="73">
        <v>4767</v>
      </c>
    </row>
    <row r="306" spans="1:6" x14ac:dyDescent="0.25">
      <c r="A306" s="128">
        <v>14</v>
      </c>
      <c r="B306" s="127">
        <v>58</v>
      </c>
      <c r="C306" s="127" t="s">
        <v>339</v>
      </c>
      <c r="D306" s="140">
        <f t="shared" si="7"/>
        <v>2.9746382302679368</v>
      </c>
      <c r="E306" s="72">
        <v>1913.51</v>
      </c>
      <c r="F306" s="73">
        <v>5692</v>
      </c>
    </row>
    <row r="307" spans="1:6" x14ac:dyDescent="0.25">
      <c r="A307" s="128">
        <v>15</v>
      </c>
      <c r="B307" s="127">
        <v>27</v>
      </c>
      <c r="C307" s="127" t="s">
        <v>340</v>
      </c>
      <c r="D307" s="140">
        <f t="shared" si="7"/>
        <v>2.2176990718634877</v>
      </c>
      <c r="E307" s="72">
        <v>2869.19</v>
      </c>
      <c r="F307" s="73">
        <v>6363</v>
      </c>
    </row>
    <row r="308" spans="1:6" x14ac:dyDescent="0.25">
      <c r="A308" s="128">
        <v>16</v>
      </c>
      <c r="B308" s="127">
        <v>23</v>
      </c>
      <c r="C308" s="127" t="s">
        <v>357</v>
      </c>
      <c r="D308" s="140">
        <f t="shared" si="7"/>
        <v>2.2695743854392099</v>
      </c>
      <c r="E308" s="72">
        <v>1982.31</v>
      </c>
      <c r="F308" s="73">
        <v>4499</v>
      </c>
    </row>
    <row r="309" spans="1:6" x14ac:dyDescent="0.25">
      <c r="A309" s="128">
        <v>17</v>
      </c>
      <c r="B309" s="127">
        <v>61</v>
      </c>
      <c r="C309" s="127" t="s">
        <v>392</v>
      </c>
      <c r="D309" s="140">
        <f>F309/E309</f>
        <v>2.2051114298415575</v>
      </c>
      <c r="E309" s="72">
        <v>2384.46</v>
      </c>
      <c r="F309" s="73">
        <v>5258</v>
      </c>
    </row>
    <row r="310" spans="1:6" x14ac:dyDescent="0.25">
      <c r="A310" s="128">
        <v>18</v>
      </c>
      <c r="B310" s="127">
        <v>59</v>
      </c>
      <c r="C310" s="127" t="s">
        <v>391</v>
      </c>
      <c r="D310" s="140">
        <f>F310/E310</f>
        <v>2.1890344585487624</v>
      </c>
      <c r="E310" s="72">
        <v>2307.41</v>
      </c>
      <c r="F310" s="73">
        <v>5051</v>
      </c>
    </row>
    <row r="311" spans="1:6" x14ac:dyDescent="0.25">
      <c r="A311" s="128">
        <v>19</v>
      </c>
      <c r="B311" s="127">
        <v>43</v>
      </c>
      <c r="C311" s="127" t="s">
        <v>341</v>
      </c>
      <c r="D311" s="140">
        <f t="shared" si="7"/>
        <v>2.4848168963016679</v>
      </c>
      <c r="E311" s="72">
        <v>2647.68</v>
      </c>
      <c r="F311" s="73">
        <v>6579</v>
      </c>
    </row>
    <row r="312" spans="1:6" x14ac:dyDescent="0.25">
      <c r="A312" s="128">
        <v>20</v>
      </c>
      <c r="B312" s="127">
        <v>63</v>
      </c>
      <c r="C312" s="127" t="s">
        <v>495</v>
      </c>
      <c r="D312" s="140">
        <f t="shared" si="7"/>
        <v>2.1243934389933394</v>
      </c>
      <c r="E312" s="72">
        <v>2709.95</v>
      </c>
      <c r="F312" s="73">
        <v>5757</v>
      </c>
    </row>
    <row r="313" spans="1:6" x14ac:dyDescent="0.25">
      <c r="A313" s="128">
        <v>21</v>
      </c>
      <c r="B313" s="127">
        <v>60</v>
      </c>
      <c r="C313" s="127" t="s">
        <v>496</v>
      </c>
      <c r="D313" s="140">
        <f t="shared" si="7"/>
        <v>2.0966518145421671</v>
      </c>
      <c r="E313" s="72">
        <v>2477.7600000000002</v>
      </c>
      <c r="F313" s="73">
        <v>5195</v>
      </c>
    </row>
    <row r="314" spans="1:6" x14ac:dyDescent="0.25">
      <c r="A314" s="128">
        <v>22</v>
      </c>
      <c r="B314" s="127">
        <v>42</v>
      </c>
      <c r="C314" s="127" t="s">
        <v>342</v>
      </c>
      <c r="D314" s="140">
        <f t="shared" si="7"/>
        <v>2.4564863511144504</v>
      </c>
      <c r="E314" s="72">
        <v>3194.4</v>
      </c>
      <c r="F314" s="73">
        <v>7847</v>
      </c>
    </row>
    <row r="315" spans="1:6" x14ac:dyDescent="0.25">
      <c r="A315" s="128">
        <v>23</v>
      </c>
      <c r="B315" s="127">
        <v>46</v>
      </c>
      <c r="C315" s="127" t="s">
        <v>343</v>
      </c>
      <c r="D315" s="140">
        <f t="shared" si="7"/>
        <v>2.0860575351422033</v>
      </c>
      <c r="E315" s="72">
        <v>1957.76</v>
      </c>
      <c r="F315" s="73">
        <v>4084</v>
      </c>
    </row>
    <row r="316" spans="1:6" x14ac:dyDescent="0.25">
      <c r="A316" s="128">
        <v>24</v>
      </c>
      <c r="B316" s="127">
        <v>36</v>
      </c>
      <c r="C316" s="127" t="s">
        <v>344</v>
      </c>
      <c r="D316" s="140">
        <f t="shared" si="7"/>
        <v>2.3825089950054927</v>
      </c>
      <c r="E316" s="72">
        <v>2248.4699999999998</v>
      </c>
      <c r="F316" s="73">
        <v>5357</v>
      </c>
    </row>
    <row r="317" spans="1:6" x14ac:dyDescent="0.25">
      <c r="A317" s="128">
        <v>25</v>
      </c>
      <c r="B317" s="127">
        <v>32</v>
      </c>
      <c r="C317" s="127" t="s">
        <v>393</v>
      </c>
      <c r="D317" s="140">
        <f t="shared" si="7"/>
        <v>2.2892497391137288</v>
      </c>
      <c r="E317" s="72">
        <v>2290.27</v>
      </c>
      <c r="F317" s="73">
        <v>5243</v>
      </c>
    </row>
    <row r="318" spans="1:6" x14ac:dyDescent="0.25">
      <c r="A318" s="128">
        <v>26</v>
      </c>
      <c r="B318" s="127">
        <v>65</v>
      </c>
      <c r="C318" s="127" t="s">
        <v>370</v>
      </c>
      <c r="D318" s="140">
        <f t="shared" si="7"/>
        <v>1.6632603891464366</v>
      </c>
      <c r="E318" s="72">
        <v>601.83000000000004</v>
      </c>
      <c r="F318" s="73">
        <v>1001</v>
      </c>
    </row>
    <row r="319" spans="1:6" x14ac:dyDescent="0.25">
      <c r="A319" s="128">
        <v>27</v>
      </c>
      <c r="B319" s="127">
        <v>38</v>
      </c>
      <c r="C319" s="127" t="s">
        <v>399</v>
      </c>
      <c r="D319" s="140">
        <f t="shared" si="7"/>
        <v>2.0293046878511394</v>
      </c>
      <c r="E319" s="72">
        <v>889.96</v>
      </c>
      <c r="F319" s="73">
        <v>1806</v>
      </c>
    </row>
    <row r="320" spans="1:6" x14ac:dyDescent="0.25">
      <c r="A320" s="128">
        <v>28</v>
      </c>
      <c r="B320" s="127">
        <v>40</v>
      </c>
      <c r="C320" s="127" t="s">
        <v>345</v>
      </c>
      <c r="D320" s="140">
        <f t="shared" si="7"/>
        <v>2.3784868143043556</v>
      </c>
      <c r="E320" s="72">
        <v>2153.4699999999998</v>
      </c>
      <c r="F320" s="73">
        <v>5122</v>
      </c>
    </row>
    <row r="321" spans="1:6" x14ac:dyDescent="0.25">
      <c r="A321" s="128">
        <v>29</v>
      </c>
      <c r="B321" s="127">
        <v>41</v>
      </c>
      <c r="C321" s="127" t="s">
        <v>346</v>
      </c>
      <c r="D321" s="140">
        <f t="shared" si="7"/>
        <v>2.6865500549711077</v>
      </c>
      <c r="E321" s="74">
        <v>1919.19</v>
      </c>
      <c r="F321" s="75">
        <v>5156</v>
      </c>
    </row>
    <row r="322" spans="1:6" x14ac:dyDescent="0.25">
      <c r="A322" s="128">
        <v>30</v>
      </c>
      <c r="B322" s="127">
        <v>39</v>
      </c>
      <c r="C322" s="127" t="s">
        <v>347</v>
      </c>
      <c r="D322" s="140">
        <f t="shared" si="7"/>
        <v>3.1503308432948813</v>
      </c>
      <c r="E322" s="74">
        <v>2390.86</v>
      </c>
      <c r="F322" s="75">
        <v>7532</v>
      </c>
    </row>
    <row r="323" spans="1:6" x14ac:dyDescent="0.25">
      <c r="A323" s="128">
        <v>31</v>
      </c>
      <c r="B323" s="127">
        <v>49</v>
      </c>
      <c r="C323" s="127" t="s">
        <v>348</v>
      </c>
      <c r="D323" s="140">
        <f t="shared" si="7"/>
        <v>2.8449729039934812</v>
      </c>
      <c r="E323" s="74">
        <v>2319.5300000000002</v>
      </c>
      <c r="F323" s="75">
        <v>6599</v>
      </c>
    </row>
    <row r="324" spans="1:6" x14ac:dyDescent="0.25">
      <c r="A324" s="128">
        <v>32</v>
      </c>
      <c r="B324" s="127">
        <v>47</v>
      </c>
      <c r="C324" s="127" t="s">
        <v>349</v>
      </c>
      <c r="D324" s="140">
        <f t="shared" si="7"/>
        <v>2.7001267086038507</v>
      </c>
      <c r="E324" s="74">
        <v>1783.62</v>
      </c>
      <c r="F324" s="75">
        <v>4816</v>
      </c>
    </row>
    <row r="325" spans="1:6" x14ac:dyDescent="0.25">
      <c r="A325" s="128">
        <v>33</v>
      </c>
      <c r="B325" s="127">
        <v>48</v>
      </c>
      <c r="C325" s="127" t="s">
        <v>350</v>
      </c>
      <c r="D325" s="140">
        <f t="shared" si="7"/>
        <v>2.790013193951081</v>
      </c>
      <c r="E325" s="74">
        <v>1970.6</v>
      </c>
      <c r="F325" s="75">
        <v>5498</v>
      </c>
    </row>
    <row r="326" spans="1:6" x14ac:dyDescent="0.25">
      <c r="A326" s="128">
        <v>34</v>
      </c>
      <c r="B326" s="127">
        <v>50</v>
      </c>
      <c r="C326" s="127" t="s">
        <v>351</v>
      </c>
      <c r="D326" s="140">
        <f t="shared" si="7"/>
        <v>2.7819113756613758</v>
      </c>
      <c r="E326" s="72">
        <v>2419.1999999999998</v>
      </c>
      <c r="F326" s="73">
        <v>6730</v>
      </c>
    </row>
    <row r="327" spans="1:6" x14ac:dyDescent="0.25">
      <c r="A327" s="128">
        <v>35</v>
      </c>
      <c r="B327" s="219">
        <v>56</v>
      </c>
      <c r="C327" s="219" t="s">
        <v>484</v>
      </c>
      <c r="D327" s="222">
        <f t="shared" si="7"/>
        <v>2.3820789905577935</v>
      </c>
      <c r="E327" s="215">
        <v>2345.85</v>
      </c>
      <c r="F327" s="216">
        <v>5588</v>
      </c>
    </row>
    <row r="328" spans="1:6" x14ac:dyDescent="0.25">
      <c r="B328" s="493" t="s">
        <v>185</v>
      </c>
      <c r="C328" s="494"/>
      <c r="D328" s="138">
        <f>SUM(D293:D327)</f>
        <v>84.505485081778843</v>
      </c>
    </row>
    <row r="329" spans="1:6" ht="30" customHeight="1" x14ac:dyDescent="0.25">
      <c r="B329" s="493" t="s">
        <v>186</v>
      </c>
      <c r="C329" s="494"/>
      <c r="D329" s="69">
        <f>D328/35</f>
        <v>2.4144424309079668</v>
      </c>
      <c r="E329" s="495" t="s">
        <v>247</v>
      </c>
      <c r="F329" s="496"/>
    </row>
    <row r="330" spans="1:6" ht="30" customHeight="1" x14ac:dyDescent="0.25">
      <c r="B330" s="497" t="s">
        <v>187</v>
      </c>
      <c r="C330" s="498"/>
      <c r="D330" s="223">
        <f>1/D329</f>
        <v>0.41417429846274839</v>
      </c>
    </row>
    <row r="331" spans="1:6" ht="5.0999999999999996" customHeight="1" x14ac:dyDescent="0.25">
      <c r="C331" s="60"/>
      <c r="D331" s="60"/>
      <c r="E331" s="60"/>
    </row>
    <row r="332" spans="1:6" x14ac:dyDescent="0.25">
      <c r="A332" s="490" t="s">
        <v>500</v>
      </c>
      <c r="B332" s="491"/>
      <c r="C332" s="491"/>
      <c r="D332" s="491"/>
      <c r="E332" s="491"/>
      <c r="F332" s="492"/>
    </row>
    <row r="333" spans="1:6" ht="45" x14ac:dyDescent="0.25">
      <c r="A333" s="59" t="s">
        <v>246</v>
      </c>
      <c r="B333" s="59" t="s">
        <v>368</v>
      </c>
      <c r="C333" s="59" t="s">
        <v>337</v>
      </c>
      <c r="D333" s="123" t="s">
        <v>184</v>
      </c>
      <c r="E333" s="123" t="s">
        <v>191</v>
      </c>
      <c r="F333" s="123" t="s">
        <v>190</v>
      </c>
    </row>
    <row r="334" spans="1:6" x14ac:dyDescent="0.25">
      <c r="A334" s="128">
        <v>1</v>
      </c>
      <c r="B334" s="126">
        <v>20</v>
      </c>
      <c r="C334" s="126" t="s">
        <v>371</v>
      </c>
      <c r="D334" s="139">
        <f>F334/E334</f>
        <v>2.1853376543750547</v>
      </c>
      <c r="E334" s="70">
        <v>2283.4</v>
      </c>
      <c r="F334" s="71">
        <v>4990</v>
      </c>
    </row>
    <row r="335" spans="1:6" x14ac:dyDescent="0.25">
      <c r="A335" s="128">
        <v>2</v>
      </c>
      <c r="B335" s="127">
        <v>30</v>
      </c>
      <c r="C335" s="127" t="s">
        <v>372</v>
      </c>
      <c r="D335" s="140">
        <f>F335/E335</f>
        <v>2.3728739355996762</v>
      </c>
      <c r="E335" s="129">
        <v>1370.49</v>
      </c>
      <c r="F335" s="130">
        <v>3252</v>
      </c>
    </row>
    <row r="336" spans="1:6" x14ac:dyDescent="0.25">
      <c r="A336" s="128">
        <v>3</v>
      </c>
      <c r="B336" s="127">
        <v>34</v>
      </c>
      <c r="C336" s="127" t="s">
        <v>471</v>
      </c>
      <c r="D336" s="140">
        <f t="shared" ref="D336:D367" si="8">F336/E336</f>
        <v>2.4438053606349937</v>
      </c>
      <c r="E336" s="72">
        <v>2173.25</v>
      </c>
      <c r="F336" s="73">
        <v>5311</v>
      </c>
    </row>
    <row r="337" spans="1:6" x14ac:dyDescent="0.25">
      <c r="A337" s="128">
        <v>4</v>
      </c>
      <c r="B337" s="127">
        <v>28</v>
      </c>
      <c r="C337" s="127" t="s">
        <v>473</v>
      </c>
      <c r="D337" s="140">
        <f t="shared" si="8"/>
        <v>2.556046093684333</v>
      </c>
      <c r="E337" s="72">
        <v>2498.39</v>
      </c>
      <c r="F337" s="73">
        <v>6386</v>
      </c>
    </row>
    <row r="338" spans="1:6" x14ac:dyDescent="0.25">
      <c r="A338" s="128">
        <v>5</v>
      </c>
      <c r="B338" s="127">
        <v>24</v>
      </c>
      <c r="C338" s="127" t="s">
        <v>477</v>
      </c>
      <c r="D338" s="140">
        <f t="shared" si="8"/>
        <v>2.4404713750235958</v>
      </c>
      <c r="E338" s="72">
        <v>1483.32</v>
      </c>
      <c r="F338" s="73">
        <v>3620</v>
      </c>
    </row>
    <row r="339" spans="1:6" x14ac:dyDescent="0.25">
      <c r="A339" s="128">
        <v>6</v>
      </c>
      <c r="B339" s="127">
        <v>57</v>
      </c>
      <c r="C339" s="127" t="s">
        <v>356</v>
      </c>
      <c r="D339" s="140">
        <f t="shared" si="8"/>
        <v>2.0906408883332603</v>
      </c>
      <c r="E339" s="72">
        <v>2511.67</v>
      </c>
      <c r="F339" s="73">
        <v>5251</v>
      </c>
    </row>
    <row r="340" spans="1:6" x14ac:dyDescent="0.25">
      <c r="A340" s="128">
        <v>7</v>
      </c>
      <c r="B340" s="127">
        <v>37</v>
      </c>
      <c r="C340" s="127" t="s">
        <v>355</v>
      </c>
      <c r="D340" s="140">
        <f t="shared" si="8"/>
        <v>3.0139720558882237</v>
      </c>
      <c r="E340" s="72">
        <v>1903.8</v>
      </c>
      <c r="F340" s="73">
        <v>5738</v>
      </c>
    </row>
    <row r="341" spans="1:6" x14ac:dyDescent="0.25">
      <c r="A341" s="128">
        <v>8</v>
      </c>
      <c r="B341" s="127">
        <v>62</v>
      </c>
      <c r="C341" s="127" t="s">
        <v>390</v>
      </c>
      <c r="D341" s="140">
        <f t="shared" si="8"/>
        <v>2.1025008694552469</v>
      </c>
      <c r="E341" s="72">
        <v>1897.74</v>
      </c>
      <c r="F341" s="73">
        <v>3990</v>
      </c>
    </row>
    <row r="342" spans="1:6" x14ac:dyDescent="0.25">
      <c r="A342" s="128">
        <v>9</v>
      </c>
      <c r="B342" s="127">
        <v>64</v>
      </c>
      <c r="C342" s="127" t="s">
        <v>369</v>
      </c>
      <c r="D342" s="140">
        <f t="shared" si="8"/>
        <v>2.488070315214904</v>
      </c>
      <c r="E342" s="72">
        <v>2359.66</v>
      </c>
      <c r="F342" s="73">
        <v>5871</v>
      </c>
    </row>
    <row r="343" spans="1:6" x14ac:dyDescent="0.25">
      <c r="A343" s="128">
        <v>10</v>
      </c>
      <c r="B343" s="127">
        <v>44</v>
      </c>
      <c r="C343" s="127" t="s">
        <v>338</v>
      </c>
      <c r="D343" s="140">
        <f t="shared" si="8"/>
        <v>2.6435529829481883</v>
      </c>
      <c r="E343" s="72">
        <v>2681.24</v>
      </c>
      <c r="F343" s="73">
        <v>7088</v>
      </c>
    </row>
    <row r="344" spans="1:6" x14ac:dyDescent="0.25">
      <c r="A344" s="128">
        <v>11</v>
      </c>
      <c r="B344" s="127">
        <v>45</v>
      </c>
      <c r="C344" s="127" t="s">
        <v>481</v>
      </c>
      <c r="D344" s="140">
        <f t="shared" si="8"/>
        <v>2.5487304608949781</v>
      </c>
      <c r="E344" s="72">
        <v>1864.85</v>
      </c>
      <c r="F344" s="73">
        <v>4753</v>
      </c>
    </row>
    <row r="345" spans="1:6" x14ac:dyDescent="0.25">
      <c r="A345" s="128">
        <v>12</v>
      </c>
      <c r="B345" s="127">
        <v>55</v>
      </c>
      <c r="C345" s="127" t="s">
        <v>358</v>
      </c>
      <c r="D345" s="140">
        <f t="shared" si="8"/>
        <v>2.3272395402561106</v>
      </c>
      <c r="E345" s="72">
        <v>2454.41</v>
      </c>
      <c r="F345" s="73">
        <v>5712</v>
      </c>
    </row>
    <row r="346" spans="1:6" x14ac:dyDescent="0.25">
      <c r="A346" s="128">
        <v>13</v>
      </c>
      <c r="B346" s="127">
        <v>54</v>
      </c>
      <c r="C346" s="127" t="s">
        <v>395</v>
      </c>
      <c r="D346" s="140">
        <f t="shared" si="8"/>
        <v>2.1892314625805254</v>
      </c>
      <c r="E346" s="72">
        <v>1886.05</v>
      </c>
      <c r="F346" s="73">
        <v>4129</v>
      </c>
    </row>
    <row r="347" spans="1:6" x14ac:dyDescent="0.25">
      <c r="A347" s="128">
        <v>14</v>
      </c>
      <c r="B347" s="127">
        <v>58</v>
      </c>
      <c r="C347" s="127" t="s">
        <v>339</v>
      </c>
      <c r="D347" s="140">
        <f t="shared" si="8"/>
        <v>2.8941327010650708</v>
      </c>
      <c r="E347" s="72">
        <v>1859.97</v>
      </c>
      <c r="F347" s="73">
        <v>5383</v>
      </c>
    </row>
    <row r="348" spans="1:6" x14ac:dyDescent="0.25">
      <c r="A348" s="128">
        <v>15</v>
      </c>
      <c r="B348" s="127">
        <v>27</v>
      </c>
      <c r="C348" s="127" t="s">
        <v>340</v>
      </c>
      <c r="D348" s="140">
        <f t="shared" si="8"/>
        <v>2.3052117978761122</v>
      </c>
      <c r="E348" s="72">
        <v>2961.55</v>
      </c>
      <c r="F348" s="73">
        <v>6827</v>
      </c>
    </row>
    <row r="349" spans="1:6" x14ac:dyDescent="0.25">
      <c r="A349" s="128">
        <v>16</v>
      </c>
      <c r="B349" s="127">
        <v>23</v>
      </c>
      <c r="C349" s="127" t="s">
        <v>357</v>
      </c>
      <c r="D349" s="140">
        <f t="shared" si="8"/>
        <v>2.3015231163229548</v>
      </c>
      <c r="E349" s="72">
        <v>2374.08</v>
      </c>
      <c r="F349" s="73">
        <v>5464</v>
      </c>
    </row>
    <row r="350" spans="1:6" x14ac:dyDescent="0.25">
      <c r="A350" s="128">
        <v>17</v>
      </c>
      <c r="B350" s="127">
        <v>61</v>
      </c>
      <c r="C350" s="127" t="s">
        <v>392</v>
      </c>
      <c r="D350" s="140">
        <f>F350/E350</f>
        <v>2.1749805468047652</v>
      </c>
      <c r="E350" s="72">
        <v>1323.69</v>
      </c>
      <c r="F350" s="73">
        <v>2879</v>
      </c>
    </row>
    <row r="351" spans="1:6" x14ac:dyDescent="0.25">
      <c r="A351" s="128">
        <v>18</v>
      </c>
      <c r="B351" s="127">
        <v>59</v>
      </c>
      <c r="C351" s="127" t="s">
        <v>391</v>
      </c>
      <c r="D351" s="140">
        <f>F351/E351</f>
        <v>2.2778900265972628</v>
      </c>
      <c r="E351" s="72">
        <v>1752.06</v>
      </c>
      <c r="F351" s="73">
        <v>3991</v>
      </c>
    </row>
    <row r="352" spans="1:6" x14ac:dyDescent="0.25">
      <c r="A352" s="128">
        <v>19</v>
      </c>
      <c r="B352" s="127">
        <v>43</v>
      </c>
      <c r="C352" s="127" t="s">
        <v>341</v>
      </c>
      <c r="D352" s="140">
        <f t="shared" si="8"/>
        <v>2.5837053790547095</v>
      </c>
      <c r="E352" s="72">
        <v>2546.73</v>
      </c>
      <c r="F352" s="73">
        <v>6580</v>
      </c>
    </row>
    <row r="353" spans="1:6" x14ac:dyDescent="0.25">
      <c r="A353" s="128">
        <v>20</v>
      </c>
      <c r="B353" s="127">
        <v>63</v>
      </c>
      <c r="C353" s="127" t="s">
        <v>495</v>
      </c>
      <c r="D353" s="140">
        <f t="shared" si="8"/>
        <v>1.9156557577171009</v>
      </c>
      <c r="E353" s="72">
        <v>2744.23</v>
      </c>
      <c r="F353" s="73">
        <v>5257</v>
      </c>
    </row>
    <row r="354" spans="1:6" x14ac:dyDescent="0.25">
      <c r="A354" s="128">
        <v>21</v>
      </c>
      <c r="B354" s="127">
        <v>60</v>
      </c>
      <c r="C354" s="127" t="s">
        <v>496</v>
      </c>
      <c r="D354" s="140">
        <f t="shared" si="8"/>
        <v>1.8911995685732583</v>
      </c>
      <c r="E354" s="72">
        <v>2966.9</v>
      </c>
      <c r="F354" s="73">
        <v>5611</v>
      </c>
    </row>
    <row r="355" spans="1:6" x14ac:dyDescent="0.25">
      <c r="A355" s="128">
        <v>22</v>
      </c>
      <c r="B355" s="127">
        <v>42</v>
      </c>
      <c r="C355" s="127" t="s">
        <v>342</v>
      </c>
      <c r="D355" s="140">
        <f t="shared" si="8"/>
        <v>2.4194674736333197</v>
      </c>
      <c r="E355" s="72">
        <v>2792.35</v>
      </c>
      <c r="F355" s="73">
        <v>6756</v>
      </c>
    </row>
    <row r="356" spans="1:6" x14ac:dyDescent="0.25">
      <c r="A356" s="128">
        <v>23</v>
      </c>
      <c r="B356" s="127">
        <v>46</v>
      </c>
      <c r="C356" s="127" t="s">
        <v>343</v>
      </c>
      <c r="D356" s="140">
        <f t="shared" si="8"/>
        <v>2.1183446073077383</v>
      </c>
      <c r="E356" s="72">
        <v>2179.06</v>
      </c>
      <c r="F356" s="73">
        <v>4616</v>
      </c>
    </row>
    <row r="357" spans="1:6" x14ac:dyDescent="0.25">
      <c r="A357" s="128">
        <v>24</v>
      </c>
      <c r="B357" s="127">
        <v>36</v>
      </c>
      <c r="C357" s="127" t="s">
        <v>344</v>
      </c>
      <c r="D357" s="140">
        <f t="shared" si="8"/>
        <v>2.6222495521749591</v>
      </c>
      <c r="E357" s="72">
        <v>1870.15</v>
      </c>
      <c r="F357" s="73">
        <v>4904</v>
      </c>
    </row>
    <row r="358" spans="1:6" x14ac:dyDescent="0.25">
      <c r="A358" s="128">
        <v>25</v>
      </c>
      <c r="B358" s="127">
        <v>32</v>
      </c>
      <c r="C358" s="127" t="s">
        <v>393</v>
      </c>
      <c r="D358" s="140">
        <f t="shared" si="8"/>
        <v>2.232312997889923</v>
      </c>
      <c r="E358" s="72">
        <v>2151.58</v>
      </c>
      <c r="F358" s="73">
        <v>4803</v>
      </c>
    </row>
    <row r="359" spans="1:6" x14ac:dyDescent="0.25">
      <c r="A359" s="128">
        <v>26</v>
      </c>
      <c r="B359" s="127">
        <v>65</v>
      </c>
      <c r="C359" s="127" t="s">
        <v>370</v>
      </c>
      <c r="D359" s="140">
        <f t="shared" si="8"/>
        <v>2.2193368438769867</v>
      </c>
      <c r="E359" s="72">
        <v>2079.4499999999998</v>
      </c>
      <c r="F359" s="73">
        <v>4615</v>
      </c>
    </row>
    <row r="360" spans="1:6" x14ac:dyDescent="0.25">
      <c r="A360" s="128">
        <v>27</v>
      </c>
      <c r="B360" s="127">
        <v>40</v>
      </c>
      <c r="C360" s="127" t="s">
        <v>345</v>
      </c>
      <c r="D360" s="140">
        <f t="shared" si="8"/>
        <v>2.7485191829058255</v>
      </c>
      <c r="E360" s="72">
        <v>1956.69</v>
      </c>
      <c r="F360" s="73">
        <v>5378</v>
      </c>
    </row>
    <row r="361" spans="1:6" x14ac:dyDescent="0.25">
      <c r="A361" s="128">
        <v>28</v>
      </c>
      <c r="B361" s="127">
        <v>41</v>
      </c>
      <c r="C361" s="127" t="s">
        <v>346</v>
      </c>
      <c r="D361" s="140">
        <f t="shared" si="8"/>
        <v>2.7625067964257668</v>
      </c>
      <c r="E361" s="74">
        <v>1820.81</v>
      </c>
      <c r="F361" s="75">
        <v>5030</v>
      </c>
    </row>
    <row r="362" spans="1:6" x14ac:dyDescent="0.25">
      <c r="A362" s="128">
        <v>29</v>
      </c>
      <c r="B362" s="127">
        <v>39</v>
      </c>
      <c r="C362" s="127" t="s">
        <v>347</v>
      </c>
      <c r="D362" s="140">
        <f t="shared" si="8"/>
        <v>3.136094674556213</v>
      </c>
      <c r="E362" s="74">
        <v>2213.9</v>
      </c>
      <c r="F362" s="75">
        <v>6943</v>
      </c>
    </row>
    <row r="363" spans="1:6" x14ac:dyDescent="0.25">
      <c r="A363" s="128">
        <v>30</v>
      </c>
      <c r="B363" s="127">
        <v>49</v>
      </c>
      <c r="C363" s="127" t="s">
        <v>348</v>
      </c>
      <c r="D363" s="140">
        <f t="shared" si="8"/>
        <v>2.8457903275104037</v>
      </c>
      <c r="E363" s="74">
        <v>2126.65</v>
      </c>
      <c r="F363" s="75">
        <v>6052</v>
      </c>
    </row>
    <row r="364" spans="1:6" x14ac:dyDescent="0.25">
      <c r="A364" s="128">
        <v>31</v>
      </c>
      <c r="B364" s="127">
        <v>47</v>
      </c>
      <c r="C364" s="127" t="s">
        <v>349</v>
      </c>
      <c r="D364" s="140">
        <f t="shared" si="8"/>
        <v>2.7399074759982143</v>
      </c>
      <c r="E364" s="74">
        <v>2038.39</v>
      </c>
      <c r="F364" s="75">
        <v>5585</v>
      </c>
    </row>
    <row r="365" spans="1:6" x14ac:dyDescent="0.25">
      <c r="A365" s="128">
        <v>32</v>
      </c>
      <c r="B365" s="127">
        <v>48</v>
      </c>
      <c r="C365" s="127" t="s">
        <v>350</v>
      </c>
      <c r="D365" s="140">
        <f t="shared" si="8"/>
        <v>2.6769762119591523</v>
      </c>
      <c r="E365" s="74">
        <v>1673.53</v>
      </c>
      <c r="F365" s="75">
        <v>4480</v>
      </c>
    </row>
    <row r="366" spans="1:6" x14ac:dyDescent="0.25">
      <c r="A366" s="128">
        <v>33</v>
      </c>
      <c r="B366" s="127">
        <v>50</v>
      </c>
      <c r="C366" s="127" t="s">
        <v>351</v>
      </c>
      <c r="D366" s="140">
        <f t="shared" si="8"/>
        <v>2.7071838544744886</v>
      </c>
      <c r="E366" s="72">
        <v>2521.0700000000002</v>
      </c>
      <c r="F366" s="73">
        <v>6825</v>
      </c>
    </row>
    <row r="367" spans="1:6" x14ac:dyDescent="0.25">
      <c r="A367" s="128">
        <v>34</v>
      </c>
      <c r="B367" s="219">
        <v>56</v>
      </c>
      <c r="C367" s="219" t="s">
        <v>484</v>
      </c>
      <c r="D367" s="222">
        <f t="shared" si="8"/>
        <v>2.694155817487371</v>
      </c>
      <c r="E367" s="215">
        <v>1704.43</v>
      </c>
      <c r="F367" s="216">
        <v>4592</v>
      </c>
    </row>
    <row r="368" spans="1:6" x14ac:dyDescent="0.25">
      <c r="B368" s="493" t="s">
        <v>185</v>
      </c>
      <c r="C368" s="494"/>
      <c r="D368" s="138">
        <f>SUM(D334:D367)</f>
        <v>83.669617705100691</v>
      </c>
    </row>
    <row r="369" spans="1:6" ht="30" customHeight="1" x14ac:dyDescent="0.25">
      <c r="B369" s="493" t="s">
        <v>186</v>
      </c>
      <c r="C369" s="494"/>
      <c r="D369" s="69">
        <f>D368/34</f>
        <v>2.4608711089735498</v>
      </c>
      <c r="E369" s="495" t="s">
        <v>247</v>
      </c>
      <c r="F369" s="496"/>
    </row>
    <row r="370" spans="1:6" ht="30" customHeight="1" x14ac:dyDescent="0.25">
      <c r="B370" s="497" t="s">
        <v>187</v>
      </c>
      <c r="C370" s="498"/>
      <c r="D370" s="223">
        <f>1/D369</f>
        <v>0.40636016910983547</v>
      </c>
    </row>
    <row r="371" spans="1:6" ht="5.0999999999999996" customHeight="1" x14ac:dyDescent="0.25">
      <c r="C371" s="60"/>
      <c r="D371" s="60"/>
      <c r="E371" s="60"/>
    </row>
    <row r="372" spans="1:6" x14ac:dyDescent="0.25">
      <c r="A372" s="490" t="s">
        <v>501</v>
      </c>
      <c r="B372" s="491"/>
      <c r="C372" s="491"/>
      <c r="D372" s="491"/>
      <c r="E372" s="491"/>
      <c r="F372" s="492"/>
    </row>
    <row r="373" spans="1:6" ht="45" x14ac:dyDescent="0.25">
      <c r="A373" s="59" t="s">
        <v>246</v>
      </c>
      <c r="B373" s="59" t="s">
        <v>368</v>
      </c>
      <c r="C373" s="59" t="s">
        <v>337</v>
      </c>
      <c r="D373" s="123" t="s">
        <v>184</v>
      </c>
      <c r="E373" s="123" t="s">
        <v>191</v>
      </c>
      <c r="F373" s="123" t="s">
        <v>190</v>
      </c>
    </row>
    <row r="374" spans="1:6" x14ac:dyDescent="0.25">
      <c r="A374" s="128">
        <v>1</v>
      </c>
      <c r="B374" s="126">
        <v>20</v>
      </c>
      <c r="C374" s="126" t="s">
        <v>371</v>
      </c>
      <c r="D374" s="139">
        <f>F374/E374</f>
        <v>1.7994481301003933</v>
      </c>
      <c r="E374" s="70">
        <v>2725.28</v>
      </c>
      <c r="F374" s="71">
        <v>4904</v>
      </c>
    </row>
    <row r="375" spans="1:6" x14ac:dyDescent="0.25">
      <c r="A375" s="128">
        <v>2</v>
      </c>
      <c r="B375" s="127">
        <v>30</v>
      </c>
      <c r="C375" s="127" t="s">
        <v>372</v>
      </c>
      <c r="D375" s="140">
        <f>F375/E375</f>
        <v>2.4231793672448516</v>
      </c>
      <c r="E375" s="129">
        <v>2001.09</v>
      </c>
      <c r="F375" s="130">
        <v>4849</v>
      </c>
    </row>
    <row r="376" spans="1:6" x14ac:dyDescent="0.25">
      <c r="A376" s="128">
        <v>3</v>
      </c>
      <c r="B376" s="127">
        <v>28</v>
      </c>
      <c r="C376" s="127" t="s">
        <v>473</v>
      </c>
      <c r="D376" s="140">
        <f t="shared" ref="D376:D407" si="9">F376/E376</f>
        <v>2.6010640180246067</v>
      </c>
      <c r="E376" s="72">
        <v>1695.46</v>
      </c>
      <c r="F376" s="73">
        <v>4410</v>
      </c>
    </row>
    <row r="377" spans="1:6" x14ac:dyDescent="0.25">
      <c r="A377" s="128">
        <v>4</v>
      </c>
      <c r="B377" s="127">
        <v>24</v>
      </c>
      <c r="C377" s="127" t="s">
        <v>477</v>
      </c>
      <c r="D377" s="140">
        <f t="shared" si="9"/>
        <v>2.0755848830233954</v>
      </c>
      <c r="E377" s="72">
        <v>83.35</v>
      </c>
      <c r="F377" s="73">
        <v>173</v>
      </c>
    </row>
    <row r="378" spans="1:6" x14ac:dyDescent="0.25">
      <c r="A378" s="128">
        <v>5</v>
      </c>
      <c r="B378" s="127">
        <v>57</v>
      </c>
      <c r="C378" s="127" t="s">
        <v>356</v>
      </c>
      <c r="D378" s="140">
        <f t="shared" si="9"/>
        <v>2.5799479603827429</v>
      </c>
      <c r="E378" s="72">
        <v>1906.24</v>
      </c>
      <c r="F378" s="73">
        <v>4918</v>
      </c>
    </row>
    <row r="379" spans="1:6" x14ac:dyDescent="0.25">
      <c r="A379" s="128">
        <v>6</v>
      </c>
      <c r="B379" s="127">
        <v>37</v>
      </c>
      <c r="C379" s="127" t="s">
        <v>355</v>
      </c>
      <c r="D379" s="140">
        <f t="shared" si="9"/>
        <v>2.9714336453814343</v>
      </c>
      <c r="E379" s="72">
        <v>1576.68</v>
      </c>
      <c r="F379" s="73">
        <v>4685</v>
      </c>
    </row>
    <row r="380" spans="1:6" x14ac:dyDescent="0.25">
      <c r="A380" s="128">
        <v>7</v>
      </c>
      <c r="B380" s="127">
        <v>62</v>
      </c>
      <c r="C380" s="127" t="s">
        <v>390</v>
      </c>
      <c r="D380" s="140">
        <f t="shared" si="9"/>
        <v>2.6302144500037672</v>
      </c>
      <c r="E380" s="72">
        <v>2256.4699999999998</v>
      </c>
      <c r="F380" s="73">
        <v>5935</v>
      </c>
    </row>
    <row r="381" spans="1:6" x14ac:dyDescent="0.25">
      <c r="A381" s="128">
        <v>8</v>
      </c>
      <c r="B381" s="127">
        <v>64</v>
      </c>
      <c r="C381" s="127" t="s">
        <v>369</v>
      </c>
      <c r="D381" s="140">
        <f t="shared" si="9"/>
        <v>2.1453818381677077</v>
      </c>
      <c r="E381" s="72">
        <v>3165.87</v>
      </c>
      <c r="F381" s="73">
        <v>6792</v>
      </c>
    </row>
    <row r="382" spans="1:6" x14ac:dyDescent="0.25">
      <c r="A382" s="128">
        <v>9</v>
      </c>
      <c r="B382" s="127">
        <v>44</v>
      </c>
      <c r="C382" s="127" t="s">
        <v>338</v>
      </c>
      <c r="D382" s="140">
        <f t="shared" si="9"/>
        <v>2.4555536901829247</v>
      </c>
      <c r="E382" s="72">
        <v>2918.69</v>
      </c>
      <c r="F382" s="73">
        <v>7167</v>
      </c>
    </row>
    <row r="383" spans="1:6" x14ac:dyDescent="0.25">
      <c r="A383" s="128">
        <v>10</v>
      </c>
      <c r="B383" s="127">
        <v>45</v>
      </c>
      <c r="C383" s="127" t="s">
        <v>481</v>
      </c>
      <c r="D383" s="140">
        <f t="shared" si="9"/>
        <v>2.4251090822425105</v>
      </c>
      <c r="E383" s="72">
        <v>1363.65</v>
      </c>
      <c r="F383" s="73">
        <v>3307</v>
      </c>
    </row>
    <row r="384" spans="1:6" x14ac:dyDescent="0.25">
      <c r="A384" s="128">
        <v>11</v>
      </c>
      <c r="B384" s="127">
        <v>55</v>
      </c>
      <c r="C384" s="127" t="s">
        <v>358</v>
      </c>
      <c r="D384" s="140">
        <f t="shared" si="9"/>
        <v>2.2536150352127349</v>
      </c>
      <c r="E384" s="72">
        <v>2399.6999999999998</v>
      </c>
      <c r="F384" s="73">
        <v>5408</v>
      </c>
    </row>
    <row r="385" spans="1:6" x14ac:dyDescent="0.25">
      <c r="A385" s="128">
        <v>12</v>
      </c>
      <c r="B385" s="127">
        <v>54</v>
      </c>
      <c r="C385" s="127" t="s">
        <v>395</v>
      </c>
      <c r="D385" s="140">
        <f t="shared" si="9"/>
        <v>2.0227333052289724</v>
      </c>
      <c r="E385" s="72">
        <v>2561.88</v>
      </c>
      <c r="F385" s="73">
        <v>5182</v>
      </c>
    </row>
    <row r="386" spans="1:6" x14ac:dyDescent="0.25">
      <c r="A386" s="128">
        <v>13</v>
      </c>
      <c r="B386" s="127">
        <v>21</v>
      </c>
      <c r="C386" s="127" t="s">
        <v>396</v>
      </c>
      <c r="D386" s="140">
        <f t="shared" si="9"/>
        <v>2.586834031439635</v>
      </c>
      <c r="E386" s="72">
        <v>2213.13</v>
      </c>
      <c r="F386" s="73">
        <v>5725</v>
      </c>
    </row>
    <row r="387" spans="1:6" x14ac:dyDescent="0.25">
      <c r="A387" s="128">
        <v>14</v>
      </c>
      <c r="B387" s="127">
        <v>58</v>
      </c>
      <c r="C387" s="127" t="s">
        <v>339</v>
      </c>
      <c r="D387" s="140">
        <f t="shared" si="9"/>
        <v>2.8190749680614124</v>
      </c>
      <c r="E387" s="72">
        <v>1769.02</v>
      </c>
      <c r="F387" s="73">
        <v>4987</v>
      </c>
    </row>
    <row r="388" spans="1:6" x14ac:dyDescent="0.25">
      <c r="A388" s="128">
        <v>15</v>
      </c>
      <c r="B388" s="127">
        <v>27</v>
      </c>
      <c r="C388" s="127" t="s">
        <v>340</v>
      </c>
      <c r="D388" s="140">
        <f t="shared" si="9"/>
        <v>2.2301067499173977</v>
      </c>
      <c r="E388" s="72">
        <v>3238.41</v>
      </c>
      <c r="F388" s="73">
        <v>7222</v>
      </c>
    </row>
    <row r="389" spans="1:6" x14ac:dyDescent="0.25">
      <c r="A389" s="128">
        <v>16</v>
      </c>
      <c r="B389" s="127">
        <v>23</v>
      </c>
      <c r="C389" s="127" t="s">
        <v>357</v>
      </c>
      <c r="D389" s="140">
        <f t="shared" si="9"/>
        <v>2.1249020054118302</v>
      </c>
      <c r="E389" s="72">
        <v>3163.44</v>
      </c>
      <c r="F389" s="73">
        <v>6722</v>
      </c>
    </row>
    <row r="390" spans="1:6" x14ac:dyDescent="0.25">
      <c r="A390" s="128">
        <v>17</v>
      </c>
      <c r="B390" s="127">
        <v>61</v>
      </c>
      <c r="C390" s="127" t="s">
        <v>392</v>
      </c>
      <c r="D390" s="140">
        <f>F390/E390</f>
        <v>1.9705848992400468</v>
      </c>
      <c r="E390" s="72">
        <v>2644.9</v>
      </c>
      <c r="F390" s="73">
        <v>5212</v>
      </c>
    </row>
    <row r="391" spans="1:6" x14ac:dyDescent="0.25">
      <c r="A391" s="128">
        <v>18</v>
      </c>
      <c r="B391" s="127">
        <v>59</v>
      </c>
      <c r="C391" s="127" t="s">
        <v>391</v>
      </c>
      <c r="D391" s="140">
        <f>F391/E391</f>
        <v>1.9805006162826233</v>
      </c>
      <c r="E391" s="72">
        <v>2977.53</v>
      </c>
      <c r="F391" s="73">
        <v>5897</v>
      </c>
    </row>
    <row r="392" spans="1:6" x14ac:dyDescent="0.25">
      <c r="A392" s="128">
        <v>19</v>
      </c>
      <c r="B392" s="127">
        <v>43</v>
      </c>
      <c r="C392" s="127" t="s">
        <v>341</v>
      </c>
      <c r="D392" s="140">
        <f t="shared" si="9"/>
        <v>2.4564183835182249</v>
      </c>
      <c r="E392" s="72">
        <v>2990.94</v>
      </c>
      <c r="F392" s="73">
        <v>7347</v>
      </c>
    </row>
    <row r="393" spans="1:6" x14ac:dyDescent="0.25">
      <c r="A393" s="128">
        <v>20</v>
      </c>
      <c r="B393" s="127">
        <v>63</v>
      </c>
      <c r="C393" s="127" t="s">
        <v>397</v>
      </c>
      <c r="D393" s="140">
        <f t="shared" si="9"/>
        <v>1.9452503769801681</v>
      </c>
      <c r="E393" s="72">
        <v>3057.19</v>
      </c>
      <c r="F393" s="73">
        <v>5947</v>
      </c>
    </row>
    <row r="394" spans="1:6" x14ac:dyDescent="0.25">
      <c r="A394" s="128">
        <v>21</v>
      </c>
      <c r="B394" s="127">
        <v>60</v>
      </c>
      <c r="C394" s="127" t="s">
        <v>398</v>
      </c>
      <c r="D394" s="140">
        <f t="shared" si="9"/>
        <v>1.9366134804124198</v>
      </c>
      <c r="E394" s="72">
        <v>3386.84</v>
      </c>
      <c r="F394" s="73">
        <v>6559</v>
      </c>
    </row>
    <row r="395" spans="1:6" x14ac:dyDescent="0.25">
      <c r="A395" s="128">
        <v>22</v>
      </c>
      <c r="B395" s="127">
        <v>42</v>
      </c>
      <c r="C395" s="127" t="s">
        <v>342</v>
      </c>
      <c r="D395" s="140">
        <f t="shared" si="9"/>
        <v>2.3383230603659135</v>
      </c>
      <c r="E395" s="72">
        <v>2350.83</v>
      </c>
      <c r="F395" s="73">
        <v>5497</v>
      </c>
    </row>
    <row r="396" spans="1:6" x14ac:dyDescent="0.25">
      <c r="A396" s="128">
        <v>23</v>
      </c>
      <c r="B396" s="127">
        <v>46</v>
      </c>
      <c r="C396" s="127" t="s">
        <v>343</v>
      </c>
      <c r="D396" s="140">
        <f t="shared" si="9"/>
        <v>2.1199054523157259</v>
      </c>
      <c r="E396" s="72">
        <v>2022.26</v>
      </c>
      <c r="F396" s="73">
        <v>4287</v>
      </c>
    </row>
    <row r="397" spans="1:6" x14ac:dyDescent="0.25">
      <c r="A397" s="128">
        <v>24</v>
      </c>
      <c r="B397" s="127">
        <v>36</v>
      </c>
      <c r="C397" s="127" t="s">
        <v>344</v>
      </c>
      <c r="D397" s="140">
        <f t="shared" si="9"/>
        <v>2.7997680665506999</v>
      </c>
      <c r="E397" s="72">
        <v>1690.14</v>
      </c>
      <c r="F397" s="73">
        <v>4732</v>
      </c>
    </row>
    <row r="398" spans="1:6" x14ac:dyDescent="0.25">
      <c r="A398" s="128">
        <v>25</v>
      </c>
      <c r="B398" s="127">
        <v>32</v>
      </c>
      <c r="C398" s="127" t="s">
        <v>393</v>
      </c>
      <c r="D398" s="140">
        <f t="shared" si="9"/>
        <v>2.3460519016211552</v>
      </c>
      <c r="E398" s="72">
        <v>2433.4499999999998</v>
      </c>
      <c r="F398" s="73">
        <v>5709</v>
      </c>
    </row>
    <row r="399" spans="1:6" x14ac:dyDescent="0.25">
      <c r="A399" s="128">
        <v>26</v>
      </c>
      <c r="B399" s="127">
        <v>65</v>
      </c>
      <c r="C399" s="127" t="s">
        <v>370</v>
      </c>
      <c r="D399" s="140">
        <f t="shared" si="9"/>
        <v>2.2287055898905499</v>
      </c>
      <c r="E399" s="72">
        <v>2317.04</v>
      </c>
      <c r="F399" s="73">
        <v>5164</v>
      </c>
    </row>
    <row r="400" spans="1:6" x14ac:dyDescent="0.25">
      <c r="A400" s="128">
        <v>27</v>
      </c>
      <c r="B400" s="127">
        <v>40</v>
      </c>
      <c r="C400" s="127" t="s">
        <v>345</v>
      </c>
      <c r="D400" s="140">
        <f t="shared" si="9"/>
        <v>2.6017244655791898</v>
      </c>
      <c r="E400" s="72">
        <v>2262.73</v>
      </c>
      <c r="F400" s="73">
        <v>5887</v>
      </c>
    </row>
    <row r="401" spans="1:6" x14ac:dyDescent="0.25">
      <c r="A401" s="128">
        <v>28</v>
      </c>
      <c r="B401" s="127">
        <v>41</v>
      </c>
      <c r="C401" s="127" t="s">
        <v>346</v>
      </c>
      <c r="D401" s="140">
        <f t="shared" si="9"/>
        <v>2.8114663726571116</v>
      </c>
      <c r="E401" s="74">
        <v>1306.08</v>
      </c>
      <c r="F401" s="75">
        <v>3672</v>
      </c>
    </row>
    <row r="402" spans="1:6" x14ac:dyDescent="0.25">
      <c r="A402" s="128">
        <v>29</v>
      </c>
      <c r="B402" s="127">
        <v>39</v>
      </c>
      <c r="C402" s="127" t="s">
        <v>347</v>
      </c>
      <c r="D402" s="140">
        <f t="shared" si="9"/>
        <v>3.0825699329298217</v>
      </c>
      <c r="E402" s="74">
        <v>1956.16</v>
      </c>
      <c r="F402" s="75">
        <v>6030</v>
      </c>
    </row>
    <row r="403" spans="1:6" x14ac:dyDescent="0.25">
      <c r="A403" s="128">
        <v>30</v>
      </c>
      <c r="B403" s="127">
        <v>49</v>
      </c>
      <c r="C403" s="127" t="s">
        <v>348</v>
      </c>
      <c r="D403" s="140">
        <f t="shared" si="9"/>
        <v>2.9759837576469956</v>
      </c>
      <c r="E403" s="74">
        <v>1871.65</v>
      </c>
      <c r="F403" s="75">
        <v>5570</v>
      </c>
    </row>
    <row r="404" spans="1:6" x14ac:dyDescent="0.25">
      <c r="A404" s="128">
        <v>31</v>
      </c>
      <c r="B404" s="127">
        <v>47</v>
      </c>
      <c r="C404" s="127" t="s">
        <v>349</v>
      </c>
      <c r="D404" s="140">
        <f t="shared" si="9"/>
        <v>2.7553690767134547</v>
      </c>
      <c r="E404" s="74">
        <v>2311.85</v>
      </c>
      <c r="F404" s="75">
        <v>6370</v>
      </c>
    </row>
    <row r="405" spans="1:6" x14ac:dyDescent="0.25">
      <c r="A405" s="128">
        <v>32</v>
      </c>
      <c r="B405" s="127">
        <v>48</v>
      </c>
      <c r="C405" s="127" t="s">
        <v>350</v>
      </c>
      <c r="D405" s="140">
        <f t="shared" si="9"/>
        <v>2.7706325175699322</v>
      </c>
      <c r="E405" s="74">
        <v>1799.95</v>
      </c>
      <c r="F405" s="75">
        <v>4987</v>
      </c>
    </row>
    <row r="406" spans="1:6" x14ac:dyDescent="0.25">
      <c r="A406" s="128">
        <v>33</v>
      </c>
      <c r="B406" s="127">
        <v>50</v>
      </c>
      <c r="C406" s="127" t="s">
        <v>351</v>
      </c>
      <c r="D406" s="140">
        <f t="shared" si="9"/>
        <v>2.8143038277724086</v>
      </c>
      <c r="E406" s="72">
        <v>2255.62</v>
      </c>
      <c r="F406" s="73">
        <v>6348</v>
      </c>
    </row>
    <row r="407" spans="1:6" x14ac:dyDescent="0.25">
      <c r="A407" s="128">
        <v>34</v>
      </c>
      <c r="B407" s="219">
        <v>56</v>
      </c>
      <c r="C407" s="219" t="s">
        <v>484</v>
      </c>
      <c r="D407" s="222">
        <f t="shared" si="9"/>
        <v>3.0325186069492598</v>
      </c>
      <c r="E407" s="215">
        <v>1750.69</v>
      </c>
      <c r="F407" s="216">
        <v>5309</v>
      </c>
    </row>
    <row r="408" spans="1:6" x14ac:dyDescent="0.25">
      <c r="B408" s="493" t="s">
        <v>185</v>
      </c>
      <c r="C408" s="494"/>
      <c r="D408" s="138">
        <f>SUM(D374:D407)</f>
        <v>83.110873545022017</v>
      </c>
    </row>
    <row r="409" spans="1:6" ht="30" customHeight="1" x14ac:dyDescent="0.25">
      <c r="B409" s="493" t="s">
        <v>186</v>
      </c>
      <c r="C409" s="494"/>
      <c r="D409" s="69">
        <f>D408/34</f>
        <v>2.4444374572065297</v>
      </c>
      <c r="E409" s="495" t="s">
        <v>247</v>
      </c>
      <c r="F409" s="496"/>
    </row>
    <row r="410" spans="1:6" ht="30" customHeight="1" x14ac:dyDescent="0.25">
      <c r="B410" s="497" t="s">
        <v>187</v>
      </c>
      <c r="C410" s="498"/>
      <c r="D410" s="223">
        <f>1/D409</f>
        <v>0.40909207844605139</v>
      </c>
    </row>
    <row r="411" spans="1:6" ht="5.0999999999999996" customHeight="1" x14ac:dyDescent="0.25">
      <c r="C411" s="60"/>
      <c r="D411" s="60"/>
      <c r="E411" s="60"/>
    </row>
    <row r="412" spans="1:6" x14ac:dyDescent="0.25">
      <c r="A412" s="490" t="s">
        <v>502</v>
      </c>
      <c r="B412" s="491"/>
      <c r="C412" s="491"/>
      <c r="D412" s="491"/>
      <c r="E412" s="491"/>
      <c r="F412" s="492"/>
    </row>
    <row r="413" spans="1:6" ht="45" x14ac:dyDescent="0.25">
      <c r="A413" s="59" t="s">
        <v>246</v>
      </c>
      <c r="B413" s="59" t="s">
        <v>368</v>
      </c>
      <c r="C413" s="59" t="s">
        <v>337</v>
      </c>
      <c r="D413" s="123" t="s">
        <v>184</v>
      </c>
      <c r="E413" s="123" t="s">
        <v>191</v>
      </c>
      <c r="F413" s="123" t="s">
        <v>190</v>
      </c>
    </row>
    <row r="414" spans="1:6" x14ac:dyDescent="0.25">
      <c r="A414" s="128">
        <v>1</v>
      </c>
      <c r="B414" s="126">
        <v>20</v>
      </c>
      <c r="C414" s="126" t="s">
        <v>371</v>
      </c>
      <c r="D414" s="139">
        <f>F414/E414</f>
        <v>2.6245027667281495</v>
      </c>
      <c r="E414" s="224">
        <v>2249.9499999999998</v>
      </c>
      <c r="F414" s="225">
        <v>5905</v>
      </c>
    </row>
    <row r="415" spans="1:6" x14ac:dyDescent="0.25">
      <c r="A415" s="128">
        <v>2</v>
      </c>
      <c r="B415" s="127">
        <v>30</v>
      </c>
      <c r="C415" s="127" t="s">
        <v>372</v>
      </c>
      <c r="D415" s="140">
        <f>F415/E415</f>
        <v>2.3448820972203928</v>
      </c>
      <c r="E415" s="226">
        <v>1897.75</v>
      </c>
      <c r="F415" s="227">
        <v>4450</v>
      </c>
    </row>
    <row r="416" spans="1:6" x14ac:dyDescent="0.25">
      <c r="A416" s="128">
        <v>3</v>
      </c>
      <c r="B416" s="127">
        <v>28</v>
      </c>
      <c r="C416" s="127" t="s">
        <v>473</v>
      </c>
      <c r="D416" s="140">
        <f t="shared" ref="D416:D445" si="10">F416/E416</f>
        <v>2.1926856338485692</v>
      </c>
      <c r="E416" s="228">
        <v>369.41</v>
      </c>
      <c r="F416" s="229">
        <v>810</v>
      </c>
    </row>
    <row r="417" spans="1:6" x14ac:dyDescent="0.25">
      <c r="A417" s="128">
        <v>4</v>
      </c>
      <c r="B417" s="127">
        <v>57</v>
      </c>
      <c r="C417" s="127" t="s">
        <v>356</v>
      </c>
      <c r="D417" s="140">
        <f t="shared" si="10"/>
        <v>2.4501108647450112</v>
      </c>
      <c r="E417" s="228">
        <v>1894.2</v>
      </c>
      <c r="F417" s="229">
        <v>4641</v>
      </c>
    </row>
    <row r="418" spans="1:6" x14ac:dyDescent="0.25">
      <c r="A418" s="128">
        <v>5</v>
      </c>
      <c r="B418" s="127">
        <v>37</v>
      </c>
      <c r="C418" s="127" t="s">
        <v>355</v>
      </c>
      <c r="D418" s="140">
        <f t="shared" si="10"/>
        <v>2.8464550821205217</v>
      </c>
      <c r="E418" s="228">
        <v>513.27</v>
      </c>
      <c r="F418" s="229">
        <v>1461</v>
      </c>
    </row>
    <row r="419" spans="1:6" x14ac:dyDescent="0.25">
      <c r="A419" s="128">
        <v>6</v>
      </c>
      <c r="B419" s="127">
        <v>62</v>
      </c>
      <c r="C419" s="127" t="s">
        <v>390</v>
      </c>
      <c r="D419" s="140">
        <f t="shared" si="10"/>
        <v>2.6410310585252481</v>
      </c>
      <c r="E419" s="228">
        <v>662.62</v>
      </c>
      <c r="F419" s="229">
        <v>1750</v>
      </c>
    </row>
    <row r="420" spans="1:6" x14ac:dyDescent="0.25">
      <c r="A420" s="128">
        <v>7</v>
      </c>
      <c r="B420" s="127">
        <v>64</v>
      </c>
      <c r="C420" s="127" t="s">
        <v>369</v>
      </c>
      <c r="D420" s="140">
        <f t="shared" si="10"/>
        <v>2.4940258543748022</v>
      </c>
      <c r="E420" s="228">
        <v>2778.64</v>
      </c>
      <c r="F420" s="229">
        <v>6930</v>
      </c>
    </row>
    <row r="421" spans="1:6" x14ac:dyDescent="0.25">
      <c r="A421" s="128">
        <v>8</v>
      </c>
      <c r="B421" s="127">
        <v>44</v>
      </c>
      <c r="C421" s="127" t="s">
        <v>338</v>
      </c>
      <c r="D421" s="140">
        <f t="shared" si="10"/>
        <v>2.2887437538982129</v>
      </c>
      <c r="E421" s="228">
        <v>2789.74</v>
      </c>
      <c r="F421" s="229">
        <v>6385</v>
      </c>
    </row>
    <row r="422" spans="1:6" x14ac:dyDescent="0.25">
      <c r="A422" s="128">
        <v>9</v>
      </c>
      <c r="B422" s="127">
        <v>55</v>
      </c>
      <c r="C422" s="127" t="s">
        <v>358</v>
      </c>
      <c r="D422" s="140">
        <f t="shared" si="10"/>
        <v>2.3422887831988457</v>
      </c>
      <c r="E422" s="228">
        <v>2994.08</v>
      </c>
      <c r="F422" s="229">
        <v>7013</v>
      </c>
    </row>
    <row r="423" spans="1:6" x14ac:dyDescent="0.25">
      <c r="A423" s="128">
        <v>10</v>
      </c>
      <c r="B423" s="127">
        <v>54</v>
      </c>
      <c r="C423" s="127" t="s">
        <v>395</v>
      </c>
      <c r="D423" s="140">
        <f t="shared" si="10"/>
        <v>2.2074279196229365</v>
      </c>
      <c r="E423" s="228">
        <v>2787.86</v>
      </c>
      <c r="F423" s="229">
        <v>6154</v>
      </c>
    </row>
    <row r="424" spans="1:6" x14ac:dyDescent="0.25">
      <c r="A424" s="128">
        <v>11</v>
      </c>
      <c r="B424" s="127">
        <v>21</v>
      </c>
      <c r="C424" s="127" t="s">
        <v>396</v>
      </c>
      <c r="D424" s="140">
        <f t="shared" si="10"/>
        <v>2.911867477675683</v>
      </c>
      <c r="E424" s="228">
        <v>1313.59</v>
      </c>
      <c r="F424" s="229">
        <v>3825</v>
      </c>
    </row>
    <row r="425" spans="1:6" x14ac:dyDescent="0.25">
      <c r="A425" s="128">
        <v>12</v>
      </c>
      <c r="B425" s="127">
        <v>58</v>
      </c>
      <c r="C425" s="127" t="s">
        <v>339</v>
      </c>
      <c r="D425" s="140">
        <f t="shared" si="10"/>
        <v>3.3107287525741311</v>
      </c>
      <c r="E425" s="228">
        <v>1325.69</v>
      </c>
      <c r="F425" s="229">
        <v>4389</v>
      </c>
    </row>
    <row r="426" spans="1:6" x14ac:dyDescent="0.25">
      <c r="A426" s="128">
        <v>13</v>
      </c>
      <c r="B426" s="127">
        <v>27</v>
      </c>
      <c r="C426" s="127" t="s">
        <v>340</v>
      </c>
      <c r="D426" s="140">
        <f t="shared" si="10"/>
        <v>2.4534323235077196</v>
      </c>
      <c r="E426" s="228">
        <v>2860.89</v>
      </c>
      <c r="F426" s="229">
        <v>7019</v>
      </c>
    </row>
    <row r="427" spans="1:6" x14ac:dyDescent="0.25">
      <c r="A427" s="128">
        <v>14</v>
      </c>
      <c r="B427" s="127">
        <v>23</v>
      </c>
      <c r="C427" s="127" t="s">
        <v>357</v>
      </c>
      <c r="D427" s="140">
        <f t="shared" si="10"/>
        <v>2.4381309019863235</v>
      </c>
      <c r="E427" s="228">
        <v>1965.44</v>
      </c>
      <c r="F427" s="229">
        <v>4792</v>
      </c>
    </row>
    <row r="428" spans="1:6" x14ac:dyDescent="0.25">
      <c r="A428" s="128">
        <v>15</v>
      </c>
      <c r="B428" s="127">
        <v>61</v>
      </c>
      <c r="C428" s="127" t="s">
        <v>392</v>
      </c>
      <c r="D428" s="140">
        <f>F428/E428</f>
        <v>2.1542824892660937</v>
      </c>
      <c r="E428" s="228">
        <v>2799.54</v>
      </c>
      <c r="F428" s="229">
        <v>6031</v>
      </c>
    </row>
    <row r="429" spans="1:6" x14ac:dyDescent="0.25">
      <c r="A429" s="128">
        <v>16</v>
      </c>
      <c r="B429" s="127">
        <v>59</v>
      </c>
      <c r="C429" s="127" t="s">
        <v>391</v>
      </c>
      <c r="D429" s="140">
        <f>F429/E429</f>
        <v>2.2435142755368798</v>
      </c>
      <c r="E429" s="228">
        <v>3312.66</v>
      </c>
      <c r="F429" s="229">
        <v>7432</v>
      </c>
    </row>
    <row r="430" spans="1:6" x14ac:dyDescent="0.25">
      <c r="A430" s="128">
        <v>17</v>
      </c>
      <c r="B430" s="127">
        <v>43</v>
      </c>
      <c r="C430" s="127" t="s">
        <v>341</v>
      </c>
      <c r="D430" s="140">
        <f t="shared" si="10"/>
        <v>2.4140304264667045</v>
      </c>
      <c r="E430" s="228">
        <v>2499.14</v>
      </c>
      <c r="F430" s="229">
        <v>6033</v>
      </c>
    </row>
    <row r="431" spans="1:6" x14ac:dyDescent="0.25">
      <c r="A431" s="128">
        <v>18</v>
      </c>
      <c r="B431" s="127">
        <v>63</v>
      </c>
      <c r="C431" s="127" t="s">
        <v>397</v>
      </c>
      <c r="D431" s="140">
        <f t="shared" si="10"/>
        <v>2.3733028298602474</v>
      </c>
      <c r="E431" s="228">
        <v>2010.7</v>
      </c>
      <c r="F431" s="229">
        <v>4772</v>
      </c>
    </row>
    <row r="432" spans="1:6" x14ac:dyDescent="0.25">
      <c r="A432" s="128">
        <v>19</v>
      </c>
      <c r="B432" s="127">
        <v>60</v>
      </c>
      <c r="C432" s="127" t="s">
        <v>398</v>
      </c>
      <c r="D432" s="140">
        <f t="shared" si="10"/>
        <v>2.4897606301688078</v>
      </c>
      <c r="E432" s="228">
        <v>2290.1799999999998</v>
      </c>
      <c r="F432" s="229">
        <v>5702</v>
      </c>
    </row>
    <row r="433" spans="1:6" x14ac:dyDescent="0.25">
      <c r="A433" s="128">
        <v>20</v>
      </c>
      <c r="B433" s="127">
        <v>42</v>
      </c>
      <c r="C433" s="127" t="s">
        <v>342</v>
      </c>
      <c r="D433" s="140">
        <f t="shared" si="10"/>
        <v>2.2710437351200912</v>
      </c>
      <c r="E433" s="228">
        <v>3280.43</v>
      </c>
      <c r="F433" s="229">
        <v>7450</v>
      </c>
    </row>
    <row r="434" spans="1:6" x14ac:dyDescent="0.25">
      <c r="A434" s="128">
        <v>21</v>
      </c>
      <c r="B434" s="127">
        <v>46</v>
      </c>
      <c r="C434" s="127" t="s">
        <v>343</v>
      </c>
      <c r="D434" s="140">
        <f t="shared" si="10"/>
        <v>2.2222303510941055</v>
      </c>
      <c r="E434" s="228">
        <v>2733.74</v>
      </c>
      <c r="F434" s="229">
        <v>6075</v>
      </c>
    </row>
    <row r="435" spans="1:6" x14ac:dyDescent="0.25">
      <c r="A435" s="128">
        <v>22</v>
      </c>
      <c r="B435" s="127">
        <v>36</v>
      </c>
      <c r="C435" s="127" t="s">
        <v>344</v>
      </c>
      <c r="D435" s="140">
        <f t="shared" si="10"/>
        <v>2.5616437739450664</v>
      </c>
      <c r="E435" s="228">
        <v>2221.23</v>
      </c>
      <c r="F435" s="229">
        <v>5690</v>
      </c>
    </row>
    <row r="436" spans="1:6" x14ac:dyDescent="0.25">
      <c r="A436" s="128">
        <v>23</v>
      </c>
      <c r="B436" s="127">
        <v>32</v>
      </c>
      <c r="C436" s="127" t="s">
        <v>393</v>
      </c>
      <c r="D436" s="140">
        <f t="shared" si="10"/>
        <v>2.3017122021275682</v>
      </c>
      <c r="E436" s="228">
        <v>2325.66</v>
      </c>
      <c r="F436" s="229">
        <v>5353</v>
      </c>
    </row>
    <row r="437" spans="1:6" x14ac:dyDescent="0.25">
      <c r="A437" s="128">
        <v>24</v>
      </c>
      <c r="B437" s="127">
        <v>65</v>
      </c>
      <c r="C437" s="127" t="s">
        <v>370</v>
      </c>
      <c r="D437" s="140">
        <f t="shared" si="10"/>
        <v>2.0549905229385286</v>
      </c>
      <c r="E437" s="228">
        <v>2970.33</v>
      </c>
      <c r="F437" s="229">
        <v>6104</v>
      </c>
    </row>
    <row r="438" spans="1:6" x14ac:dyDescent="0.25">
      <c r="A438" s="128">
        <v>25</v>
      </c>
      <c r="B438" s="127">
        <v>40</v>
      </c>
      <c r="C438" s="127" t="s">
        <v>345</v>
      </c>
      <c r="D438" s="140">
        <f t="shared" si="10"/>
        <v>3.0383665334421748</v>
      </c>
      <c r="E438" s="228">
        <v>1886.54</v>
      </c>
      <c r="F438" s="229">
        <v>5732</v>
      </c>
    </row>
    <row r="439" spans="1:6" x14ac:dyDescent="0.25">
      <c r="A439" s="128">
        <v>26</v>
      </c>
      <c r="B439" s="127">
        <v>41</v>
      </c>
      <c r="C439" s="127" t="s">
        <v>346</v>
      </c>
      <c r="D439" s="140">
        <f t="shared" si="10"/>
        <v>0.922098968605922</v>
      </c>
      <c r="E439" s="230">
        <v>2388.0300000000002</v>
      </c>
      <c r="F439" s="231">
        <v>2202</v>
      </c>
    </row>
    <row r="440" spans="1:6" x14ac:dyDescent="0.25">
      <c r="A440" s="128">
        <v>27</v>
      </c>
      <c r="B440" s="127">
        <v>39</v>
      </c>
      <c r="C440" s="127" t="s">
        <v>347</v>
      </c>
      <c r="D440" s="140">
        <f t="shared" si="10"/>
        <v>3.2668458295322864</v>
      </c>
      <c r="E440" s="230">
        <v>2027.95</v>
      </c>
      <c r="F440" s="231">
        <v>6625</v>
      </c>
    </row>
    <row r="441" spans="1:6" x14ac:dyDescent="0.25">
      <c r="A441" s="128">
        <v>28</v>
      </c>
      <c r="B441" s="127">
        <v>49</v>
      </c>
      <c r="C441" s="127" t="s">
        <v>348</v>
      </c>
      <c r="D441" s="140">
        <f t="shared" si="10"/>
        <v>3.1682739191678406</v>
      </c>
      <c r="E441" s="230">
        <v>2307.25</v>
      </c>
      <c r="F441" s="231">
        <v>7310</v>
      </c>
    </row>
    <row r="442" spans="1:6" x14ac:dyDescent="0.25">
      <c r="A442" s="128">
        <v>29</v>
      </c>
      <c r="B442" s="127">
        <v>47</v>
      </c>
      <c r="C442" s="127" t="s">
        <v>349</v>
      </c>
      <c r="D442" s="140">
        <f t="shared" si="10"/>
        <v>2.6044804478594137</v>
      </c>
      <c r="E442" s="230">
        <v>1078.9100000000001</v>
      </c>
      <c r="F442" s="231">
        <v>2810</v>
      </c>
    </row>
    <row r="443" spans="1:6" x14ac:dyDescent="0.25">
      <c r="A443" s="128">
        <v>30</v>
      </c>
      <c r="B443" s="127">
        <v>48</v>
      </c>
      <c r="C443" s="127" t="s">
        <v>350</v>
      </c>
      <c r="D443" s="140">
        <f t="shared" si="10"/>
        <v>3.2502066292358993</v>
      </c>
      <c r="E443" s="230">
        <v>1754.35</v>
      </c>
      <c r="F443" s="231">
        <v>5702</v>
      </c>
    </row>
    <row r="444" spans="1:6" x14ac:dyDescent="0.25">
      <c r="A444" s="128">
        <v>31</v>
      </c>
      <c r="B444" s="127">
        <v>50</v>
      </c>
      <c r="C444" s="127" t="s">
        <v>351</v>
      </c>
      <c r="D444" s="140">
        <f t="shared" si="10"/>
        <v>3.0199456166735028</v>
      </c>
      <c r="E444" s="228">
        <v>1974.87</v>
      </c>
      <c r="F444" s="229">
        <v>5964</v>
      </c>
    </row>
    <row r="445" spans="1:6" x14ac:dyDescent="0.25">
      <c r="A445" s="128">
        <v>32</v>
      </c>
      <c r="B445" s="219">
        <v>56</v>
      </c>
      <c r="C445" s="219" t="s">
        <v>484</v>
      </c>
      <c r="D445" s="222">
        <f t="shared" si="10"/>
        <v>2.4865506912142745</v>
      </c>
      <c r="E445" s="232">
        <v>2306.81</v>
      </c>
      <c r="F445" s="233">
        <v>5736</v>
      </c>
    </row>
    <row r="446" spans="1:6" x14ac:dyDescent="0.25">
      <c r="B446" s="493" t="s">
        <v>185</v>
      </c>
      <c r="C446" s="494"/>
      <c r="D446" s="138">
        <f>SUM(D414:D445)</f>
        <v>80.389593142281981</v>
      </c>
    </row>
    <row r="447" spans="1:6" ht="30" customHeight="1" x14ac:dyDescent="0.25">
      <c r="B447" s="493" t="s">
        <v>186</v>
      </c>
      <c r="C447" s="494"/>
      <c r="D447" s="234">
        <f>D446/32</f>
        <v>2.5121747856963119</v>
      </c>
      <c r="E447" s="495" t="s">
        <v>247</v>
      </c>
      <c r="F447" s="496"/>
    </row>
    <row r="448" spans="1:6" ht="30" customHeight="1" x14ac:dyDescent="0.25">
      <c r="B448" s="497" t="s">
        <v>187</v>
      </c>
      <c r="C448" s="498"/>
      <c r="D448" s="223">
        <f>1/D447</f>
        <v>0.39806147474043097</v>
      </c>
    </row>
    <row r="449" spans="1:6" ht="5.0999999999999996" customHeight="1" x14ac:dyDescent="0.25">
      <c r="A449" s="209"/>
      <c r="B449" s="209"/>
      <c r="C449" s="209"/>
      <c r="D449" s="209"/>
      <c r="E449" s="209"/>
    </row>
    <row r="450" spans="1:6" x14ac:dyDescent="0.25">
      <c r="A450" s="490" t="s">
        <v>503</v>
      </c>
      <c r="B450" s="491"/>
      <c r="C450" s="491"/>
      <c r="D450" s="491"/>
      <c r="E450" s="491"/>
      <c r="F450" s="492"/>
    </row>
    <row r="451" spans="1:6" ht="45" x14ac:dyDescent="0.25">
      <c r="A451" s="59" t="s">
        <v>246</v>
      </c>
      <c r="B451" s="59" t="s">
        <v>368</v>
      </c>
      <c r="C451" s="59" t="s">
        <v>337</v>
      </c>
      <c r="D451" s="123" t="s">
        <v>184</v>
      </c>
      <c r="E451" s="123" t="s">
        <v>191</v>
      </c>
      <c r="F451" s="123" t="s">
        <v>190</v>
      </c>
    </row>
    <row r="452" spans="1:6" x14ac:dyDescent="0.25">
      <c r="A452" s="128">
        <v>1</v>
      </c>
      <c r="B452" s="126">
        <v>20</v>
      </c>
      <c r="C452" s="126" t="s">
        <v>371</v>
      </c>
      <c r="D452" s="139">
        <f>F452/E452</f>
        <v>2.5141638022993957</v>
      </c>
      <c r="E452" s="70">
        <v>2109.25</v>
      </c>
      <c r="F452" s="71">
        <v>5303</v>
      </c>
    </row>
    <row r="453" spans="1:6" x14ac:dyDescent="0.25">
      <c r="A453" s="128">
        <v>2</v>
      </c>
      <c r="B453" s="127">
        <v>30</v>
      </c>
      <c r="C453" s="127" t="s">
        <v>372</v>
      </c>
      <c r="D453" s="140">
        <f>F453/E453</f>
        <v>2.4559833041016326</v>
      </c>
      <c r="E453" s="129">
        <v>1921.43</v>
      </c>
      <c r="F453" s="130">
        <v>4719</v>
      </c>
    </row>
    <row r="454" spans="1:6" x14ac:dyDescent="0.25">
      <c r="A454" s="128">
        <v>3</v>
      </c>
      <c r="B454" s="127">
        <v>57</v>
      </c>
      <c r="C454" s="127" t="s">
        <v>356</v>
      </c>
      <c r="D454" s="140">
        <f t="shared" ref="D454:D483" si="11">F454/E454</f>
        <v>2.3239877083729907</v>
      </c>
      <c r="E454" s="72">
        <v>1838.65</v>
      </c>
      <c r="F454" s="73">
        <v>4273</v>
      </c>
    </row>
    <row r="455" spans="1:6" x14ac:dyDescent="0.25">
      <c r="A455" s="128">
        <v>4</v>
      </c>
      <c r="B455" s="127">
        <v>37</v>
      </c>
      <c r="C455" s="127" t="s">
        <v>355</v>
      </c>
      <c r="D455" s="140">
        <f t="shared" si="11"/>
        <v>2.8460847727021714</v>
      </c>
      <c r="E455" s="72">
        <v>2082.5100000000002</v>
      </c>
      <c r="F455" s="73">
        <v>5927</v>
      </c>
    </row>
    <row r="456" spans="1:6" x14ac:dyDescent="0.25">
      <c r="A456" s="128">
        <v>5</v>
      </c>
      <c r="B456" s="127">
        <v>62</v>
      </c>
      <c r="C456" s="127" t="s">
        <v>390</v>
      </c>
      <c r="D456" s="140">
        <f t="shared" si="11"/>
        <v>2.3179485228013261</v>
      </c>
      <c r="E456" s="72">
        <v>2102.29</v>
      </c>
      <c r="F456" s="73">
        <v>4873</v>
      </c>
    </row>
    <row r="457" spans="1:6" x14ac:dyDescent="0.25">
      <c r="A457" s="128">
        <v>6</v>
      </c>
      <c r="B457" s="127">
        <v>64</v>
      </c>
      <c r="C457" s="127" t="s">
        <v>369</v>
      </c>
      <c r="D457" s="140">
        <f t="shared" si="11"/>
        <v>1.8108696061037308</v>
      </c>
      <c r="E457" s="72">
        <v>3190.18</v>
      </c>
      <c r="F457" s="73">
        <v>5777</v>
      </c>
    </row>
    <row r="458" spans="1:6" x14ac:dyDescent="0.25">
      <c r="A458" s="128">
        <v>7</v>
      </c>
      <c r="B458" s="127">
        <v>44</v>
      </c>
      <c r="C458" s="127" t="s">
        <v>338</v>
      </c>
      <c r="D458" s="140">
        <f t="shared" si="11"/>
        <v>2.1919834816296992</v>
      </c>
      <c r="E458" s="72">
        <v>3758.24</v>
      </c>
      <c r="F458" s="73">
        <v>8238</v>
      </c>
    </row>
    <row r="459" spans="1:6" x14ac:dyDescent="0.25">
      <c r="A459" s="128">
        <v>8</v>
      </c>
      <c r="B459" s="127">
        <v>55</v>
      </c>
      <c r="C459" s="127" t="s">
        <v>358</v>
      </c>
      <c r="D459" s="140">
        <f t="shared" si="11"/>
        <v>2.3221861829746215</v>
      </c>
      <c r="E459" s="72">
        <v>2842.58</v>
      </c>
      <c r="F459" s="73">
        <v>6601</v>
      </c>
    </row>
    <row r="460" spans="1:6" x14ac:dyDescent="0.25">
      <c r="A460" s="128">
        <v>9</v>
      </c>
      <c r="B460" s="127">
        <v>54</v>
      </c>
      <c r="C460" s="127" t="s">
        <v>395</v>
      </c>
      <c r="D460" s="140">
        <f t="shared" si="11"/>
        <v>2.2155869320076871</v>
      </c>
      <c r="E460" s="72">
        <v>2518.52</v>
      </c>
      <c r="F460" s="73">
        <v>5580</v>
      </c>
    </row>
    <row r="461" spans="1:6" x14ac:dyDescent="0.25">
      <c r="A461" s="128">
        <v>10</v>
      </c>
      <c r="B461" s="127">
        <v>21</v>
      </c>
      <c r="C461" s="127" t="s">
        <v>396</v>
      </c>
      <c r="D461" s="140">
        <f t="shared" si="11"/>
        <v>2.392639296789961</v>
      </c>
      <c r="E461" s="72">
        <v>973.82</v>
      </c>
      <c r="F461" s="73">
        <v>2330</v>
      </c>
    </row>
    <row r="462" spans="1:6" x14ac:dyDescent="0.25">
      <c r="A462" s="128">
        <v>11</v>
      </c>
      <c r="B462" s="127">
        <v>58</v>
      </c>
      <c r="C462" s="127" t="s">
        <v>339</v>
      </c>
      <c r="D462" s="140">
        <f t="shared" si="11"/>
        <v>3.0334075431303398</v>
      </c>
      <c r="E462" s="72">
        <v>1522.71</v>
      </c>
      <c r="F462" s="73">
        <v>4619</v>
      </c>
    </row>
    <row r="463" spans="1:6" x14ac:dyDescent="0.25">
      <c r="A463" s="128">
        <v>12</v>
      </c>
      <c r="B463" s="127">
        <v>27</v>
      </c>
      <c r="C463" s="127" t="s">
        <v>340</v>
      </c>
      <c r="D463" s="140">
        <f t="shared" si="11"/>
        <v>2.2651108891665128</v>
      </c>
      <c r="E463" s="72">
        <v>2873.59</v>
      </c>
      <c r="F463" s="73">
        <v>6509</v>
      </c>
    </row>
    <row r="464" spans="1:6" x14ac:dyDescent="0.25">
      <c r="A464" s="128">
        <v>13</v>
      </c>
      <c r="B464" s="127">
        <v>23</v>
      </c>
      <c r="C464" s="127" t="s">
        <v>357</v>
      </c>
      <c r="D464" s="140">
        <f t="shared" si="11"/>
        <v>2.0043213562410358</v>
      </c>
      <c r="E464" s="72">
        <v>3248.98</v>
      </c>
      <c r="F464" s="73">
        <v>6512</v>
      </c>
    </row>
    <row r="465" spans="1:6" x14ac:dyDescent="0.25">
      <c r="A465" s="128">
        <v>14</v>
      </c>
      <c r="B465" s="127">
        <v>61</v>
      </c>
      <c r="C465" s="127" t="s">
        <v>392</v>
      </c>
      <c r="D465" s="140">
        <f>F465/E465</f>
        <v>2.1987626309376709</v>
      </c>
      <c r="E465" s="72">
        <v>2322.67</v>
      </c>
      <c r="F465" s="73">
        <v>5107</v>
      </c>
    </row>
    <row r="466" spans="1:6" x14ac:dyDescent="0.25">
      <c r="A466" s="128">
        <v>15</v>
      </c>
      <c r="B466" s="127">
        <v>59</v>
      </c>
      <c r="C466" s="127" t="s">
        <v>391</v>
      </c>
      <c r="D466" s="140">
        <f>F466/E466</f>
        <v>2.3874421201274179</v>
      </c>
      <c r="E466" s="72">
        <v>1827.06</v>
      </c>
      <c r="F466" s="73">
        <v>4362</v>
      </c>
    </row>
    <row r="467" spans="1:6" x14ac:dyDescent="0.25">
      <c r="A467" s="128">
        <v>16</v>
      </c>
      <c r="B467" s="127">
        <v>43</v>
      </c>
      <c r="C467" s="127" t="s">
        <v>341</v>
      </c>
      <c r="D467" s="140">
        <f t="shared" si="11"/>
        <v>2.2798010846999373</v>
      </c>
      <c r="E467" s="72">
        <v>3106.85</v>
      </c>
      <c r="F467" s="73">
        <v>7083</v>
      </c>
    </row>
    <row r="468" spans="1:6" x14ac:dyDescent="0.25">
      <c r="A468" s="128">
        <v>17</v>
      </c>
      <c r="B468" s="127">
        <v>63</v>
      </c>
      <c r="C468" s="127" t="s">
        <v>397</v>
      </c>
      <c r="D468" s="140">
        <f t="shared" si="11"/>
        <v>2.3444335887686916</v>
      </c>
      <c r="E468" s="72">
        <v>2548.59</v>
      </c>
      <c r="F468" s="73">
        <v>5975</v>
      </c>
    </row>
    <row r="469" spans="1:6" x14ac:dyDescent="0.25">
      <c r="A469" s="128">
        <v>18</v>
      </c>
      <c r="B469" s="127">
        <v>60</v>
      </c>
      <c r="C469" s="127" t="s">
        <v>398</v>
      </c>
      <c r="D469" s="140">
        <f t="shared" si="11"/>
        <v>1.9358964221498729</v>
      </c>
      <c r="E469" s="72">
        <v>2908.73</v>
      </c>
      <c r="F469" s="73">
        <v>5631</v>
      </c>
    </row>
    <row r="470" spans="1:6" x14ac:dyDescent="0.25">
      <c r="A470" s="128">
        <v>19</v>
      </c>
      <c r="B470" s="127">
        <v>42</v>
      </c>
      <c r="C470" s="127" t="s">
        <v>342</v>
      </c>
      <c r="D470" s="140">
        <f t="shared" si="11"/>
        <v>2.2323445420295021</v>
      </c>
      <c r="E470" s="72">
        <v>2412.71</v>
      </c>
      <c r="F470" s="73">
        <v>5386</v>
      </c>
    </row>
    <row r="471" spans="1:6" x14ac:dyDescent="0.25">
      <c r="A471" s="128">
        <v>20</v>
      </c>
      <c r="B471" s="127">
        <v>46</v>
      </c>
      <c r="C471" s="127" t="s">
        <v>343</v>
      </c>
      <c r="D471" s="140">
        <f t="shared" si="11"/>
        <v>2.2706527198480115</v>
      </c>
      <c r="E471" s="72">
        <v>2289.65</v>
      </c>
      <c r="F471" s="73">
        <v>5199</v>
      </c>
    </row>
    <row r="472" spans="1:6" x14ac:dyDescent="0.25">
      <c r="A472" s="128">
        <v>21</v>
      </c>
      <c r="B472" s="127">
        <v>36</v>
      </c>
      <c r="C472" s="127" t="s">
        <v>344</v>
      </c>
      <c r="D472" s="140">
        <f t="shared" si="11"/>
        <v>2.5348933622000089</v>
      </c>
      <c r="E472" s="72">
        <v>2170.9</v>
      </c>
      <c r="F472" s="73">
        <v>5503</v>
      </c>
    </row>
    <row r="473" spans="1:6" x14ac:dyDescent="0.25">
      <c r="A473" s="128">
        <v>22</v>
      </c>
      <c r="B473" s="127">
        <v>32</v>
      </c>
      <c r="C473" s="127" t="s">
        <v>393</v>
      </c>
      <c r="D473" s="140">
        <f t="shared" si="11"/>
        <v>2.2843248200515758</v>
      </c>
      <c r="E473" s="72">
        <v>2377.0700000000002</v>
      </c>
      <c r="F473" s="73">
        <v>5430</v>
      </c>
    </row>
    <row r="474" spans="1:6" x14ac:dyDescent="0.25">
      <c r="A474" s="128">
        <v>23</v>
      </c>
      <c r="B474" s="127">
        <v>65</v>
      </c>
      <c r="C474" s="127" t="s">
        <v>370</v>
      </c>
      <c r="D474" s="140">
        <f t="shared" si="11"/>
        <v>1.8070988423273042</v>
      </c>
      <c r="E474" s="72">
        <v>3010.35</v>
      </c>
      <c r="F474" s="73">
        <v>5440</v>
      </c>
    </row>
    <row r="475" spans="1:6" x14ac:dyDescent="0.25">
      <c r="A475" s="128">
        <v>24</v>
      </c>
      <c r="B475" s="127">
        <v>38</v>
      </c>
      <c r="C475" s="127" t="s">
        <v>399</v>
      </c>
      <c r="D475" s="140">
        <f t="shared" si="11"/>
        <v>1.7662741612974895</v>
      </c>
      <c r="E475" s="72">
        <v>180.04</v>
      </c>
      <c r="F475" s="73">
        <v>318</v>
      </c>
    </row>
    <row r="476" spans="1:6" x14ac:dyDescent="0.25">
      <c r="A476" s="128">
        <v>25</v>
      </c>
      <c r="B476" s="127">
        <v>40</v>
      </c>
      <c r="C476" s="127" t="s">
        <v>345</v>
      </c>
      <c r="D476" s="140">
        <f t="shared" si="11"/>
        <v>2.7624095076927553</v>
      </c>
      <c r="E476" s="72">
        <v>2062.33</v>
      </c>
      <c r="F476" s="73">
        <v>5697</v>
      </c>
    </row>
    <row r="477" spans="1:6" x14ac:dyDescent="0.25">
      <c r="A477" s="128">
        <v>26</v>
      </c>
      <c r="B477" s="127">
        <v>41</v>
      </c>
      <c r="C477" s="127" t="s">
        <v>346</v>
      </c>
      <c r="D477" s="140">
        <f t="shared" si="11"/>
        <v>2.6623289845146418</v>
      </c>
      <c r="E477" s="74">
        <v>2394.52</v>
      </c>
      <c r="F477" s="75">
        <v>6375</v>
      </c>
    </row>
    <row r="478" spans="1:6" x14ac:dyDescent="0.25">
      <c r="A478" s="128">
        <v>27</v>
      </c>
      <c r="B478" s="127">
        <v>39</v>
      </c>
      <c r="C478" s="127" t="s">
        <v>347</v>
      </c>
      <c r="D478" s="140">
        <f t="shared" si="11"/>
        <v>3.0501459737004453</v>
      </c>
      <c r="E478" s="74">
        <v>2058.59</v>
      </c>
      <c r="F478" s="75">
        <v>6279</v>
      </c>
    </row>
    <row r="479" spans="1:6" x14ac:dyDescent="0.25">
      <c r="A479" s="128">
        <v>28</v>
      </c>
      <c r="B479" s="127">
        <v>49</v>
      </c>
      <c r="C479" s="127" t="s">
        <v>348</v>
      </c>
      <c r="D479" s="140">
        <f t="shared" si="11"/>
        <v>2.9582095604114698</v>
      </c>
      <c r="E479" s="74">
        <v>2268.94</v>
      </c>
      <c r="F479" s="75">
        <v>6712</v>
      </c>
    </row>
    <row r="480" spans="1:6" x14ac:dyDescent="0.25">
      <c r="A480" s="128">
        <v>29</v>
      </c>
      <c r="B480" s="127">
        <v>47</v>
      </c>
      <c r="C480" s="127" t="s">
        <v>349</v>
      </c>
      <c r="D480" s="140">
        <f t="shared" si="11"/>
        <v>2.7314169937951118</v>
      </c>
      <c r="E480" s="74">
        <v>1579.4</v>
      </c>
      <c r="F480" s="75">
        <v>4314</v>
      </c>
    </row>
    <row r="481" spans="1:6" x14ac:dyDescent="0.25">
      <c r="A481" s="128">
        <v>30</v>
      </c>
      <c r="B481" s="127">
        <v>48</v>
      </c>
      <c r="C481" s="127" t="s">
        <v>350</v>
      </c>
      <c r="D481" s="140">
        <f t="shared" si="11"/>
        <v>2.9386245729091245</v>
      </c>
      <c r="E481" s="74">
        <v>1671.19</v>
      </c>
      <c r="F481" s="75">
        <v>4911</v>
      </c>
    </row>
    <row r="482" spans="1:6" x14ac:dyDescent="0.25">
      <c r="A482" s="128">
        <v>31</v>
      </c>
      <c r="B482" s="127">
        <v>50</v>
      </c>
      <c r="C482" s="127" t="s">
        <v>351</v>
      </c>
      <c r="D482" s="140">
        <f t="shared" si="11"/>
        <v>2.8383811007972537</v>
      </c>
      <c r="E482" s="72">
        <v>1771.08</v>
      </c>
      <c r="F482" s="73">
        <v>5027</v>
      </c>
    </row>
    <row r="483" spans="1:6" x14ac:dyDescent="0.25">
      <c r="A483" s="128">
        <v>32</v>
      </c>
      <c r="B483" s="173">
        <v>56</v>
      </c>
      <c r="C483" s="173" t="s">
        <v>400</v>
      </c>
      <c r="D483" s="140">
        <f t="shared" si="11"/>
        <v>2.5076869868432898</v>
      </c>
      <c r="E483" s="74">
        <v>2110.71</v>
      </c>
      <c r="F483" s="75">
        <v>5293</v>
      </c>
    </row>
    <row r="484" spans="1:6" x14ac:dyDescent="0.25">
      <c r="B484" s="493" t="s">
        <v>185</v>
      </c>
      <c r="C484" s="494"/>
      <c r="D484" s="138">
        <f>SUM(D452:D483)</f>
        <v>77.185401373422678</v>
      </c>
    </row>
    <row r="485" spans="1:6" ht="30" customHeight="1" x14ac:dyDescent="0.25">
      <c r="B485" s="493" t="s">
        <v>186</v>
      </c>
      <c r="C485" s="494"/>
      <c r="D485" s="69">
        <f>D484/32</f>
        <v>2.4120437929194587</v>
      </c>
      <c r="E485" s="495" t="s">
        <v>247</v>
      </c>
      <c r="F485" s="496"/>
    </row>
    <row r="486" spans="1:6" ht="30" customHeight="1" x14ac:dyDescent="0.25">
      <c r="B486" s="497" t="s">
        <v>187</v>
      </c>
      <c r="C486" s="498"/>
      <c r="D486" s="223">
        <f>1/D485</f>
        <v>0.41458617083798166</v>
      </c>
    </row>
  </sheetData>
  <mergeCells count="48">
    <mergeCell ref="A1:E3"/>
    <mergeCell ref="F1:F3"/>
    <mergeCell ref="B45:E45"/>
    <mergeCell ref="A5:E5"/>
    <mergeCell ref="A84:E84"/>
    <mergeCell ref="D43:F43"/>
    <mergeCell ref="D81:F81"/>
    <mergeCell ref="A46:E46"/>
    <mergeCell ref="D121:F121"/>
    <mergeCell ref="A124:E124"/>
    <mergeCell ref="A164:E164"/>
    <mergeCell ref="D161:F161"/>
    <mergeCell ref="D202:F202"/>
    <mergeCell ref="B244:C244"/>
    <mergeCell ref="B245:C245"/>
    <mergeCell ref="E245:F245"/>
    <mergeCell ref="B246:C246"/>
    <mergeCell ref="A205:F205"/>
    <mergeCell ref="A248:F248"/>
    <mergeCell ref="B287:C287"/>
    <mergeCell ref="B288:C288"/>
    <mergeCell ref="E288:F288"/>
    <mergeCell ref="B289:C289"/>
    <mergeCell ref="A291:F291"/>
    <mergeCell ref="B328:C328"/>
    <mergeCell ref="B329:C329"/>
    <mergeCell ref="E329:F329"/>
    <mergeCell ref="B330:C330"/>
    <mergeCell ref="A332:F332"/>
    <mergeCell ref="B368:C368"/>
    <mergeCell ref="B369:C369"/>
    <mergeCell ref="E369:F369"/>
    <mergeCell ref="B370:C370"/>
    <mergeCell ref="A372:F372"/>
    <mergeCell ref="B408:C408"/>
    <mergeCell ref="B409:C409"/>
    <mergeCell ref="E409:F409"/>
    <mergeCell ref="B410:C410"/>
    <mergeCell ref="A412:F412"/>
    <mergeCell ref="B446:C446"/>
    <mergeCell ref="B447:C447"/>
    <mergeCell ref="E447:F447"/>
    <mergeCell ref="B448:C448"/>
    <mergeCell ref="A450:F450"/>
    <mergeCell ref="B484:C484"/>
    <mergeCell ref="B485:C485"/>
    <mergeCell ref="E485:F485"/>
    <mergeCell ref="B486:C486"/>
  </mergeCells>
  <phoneticPr fontId="5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workbookViewId="0">
      <selection sqref="A1:E23"/>
    </sheetView>
  </sheetViews>
  <sheetFormatPr defaultRowHeight="15" x14ac:dyDescent="0.25"/>
  <cols>
    <col min="1" max="1" width="5" style="125" customWidth="1"/>
    <col min="2" max="2" width="14.42578125" customWidth="1"/>
    <col min="3" max="3" width="17.85546875" customWidth="1"/>
    <col min="4" max="4" width="21.42578125" customWidth="1"/>
    <col min="5" max="5" width="26.5703125" customWidth="1"/>
  </cols>
  <sheetData>
    <row r="1" spans="1:5" x14ac:dyDescent="0.25">
      <c r="B1" s="88" t="s">
        <v>260</v>
      </c>
      <c r="C1" s="88" t="s">
        <v>261</v>
      </c>
      <c r="D1" s="88" t="s">
        <v>262</v>
      </c>
      <c r="E1" s="88" t="s">
        <v>263</v>
      </c>
    </row>
    <row r="2" spans="1:5" x14ac:dyDescent="0.25">
      <c r="A2" s="125">
        <v>1</v>
      </c>
      <c r="B2" s="235">
        <v>45505</v>
      </c>
      <c r="C2" s="167">
        <f t="shared" ref="C2:C3" si="0">E2/D2</f>
        <v>5.4950000000000001</v>
      </c>
      <c r="D2" s="168">
        <v>4000</v>
      </c>
      <c r="E2" s="169">
        <v>21980</v>
      </c>
    </row>
    <row r="3" spans="1:5" x14ac:dyDescent="0.25">
      <c r="A3" s="125">
        <v>2</v>
      </c>
      <c r="B3" s="236">
        <v>45506</v>
      </c>
      <c r="C3" s="121">
        <f t="shared" si="0"/>
        <v>5.3970000000000002</v>
      </c>
      <c r="D3" s="170">
        <v>6000</v>
      </c>
      <c r="E3" s="171">
        <v>32382</v>
      </c>
    </row>
    <row r="4" spans="1:5" x14ac:dyDescent="0.25">
      <c r="A4" s="125">
        <v>3</v>
      </c>
      <c r="B4" s="236">
        <v>45506</v>
      </c>
      <c r="C4" s="121">
        <f>E4/D4</f>
        <v>5.4950000000000001</v>
      </c>
      <c r="D4" s="170">
        <v>5000</v>
      </c>
      <c r="E4" s="171">
        <v>27475</v>
      </c>
    </row>
    <row r="5" spans="1:5" x14ac:dyDescent="0.25">
      <c r="A5" s="125">
        <v>4</v>
      </c>
      <c r="B5" s="236">
        <v>45509</v>
      </c>
      <c r="C5" s="121">
        <f t="shared" ref="C5:C20" si="1">E5/D5</f>
        <v>5.4740000000000002</v>
      </c>
      <c r="D5" s="170">
        <v>5000</v>
      </c>
      <c r="E5" s="171">
        <v>27370</v>
      </c>
    </row>
    <row r="6" spans="1:5" x14ac:dyDescent="0.25">
      <c r="A6" s="125">
        <v>5</v>
      </c>
      <c r="B6" s="236">
        <v>45510</v>
      </c>
      <c r="C6" s="121">
        <f t="shared" si="1"/>
        <v>5.3949999999999996</v>
      </c>
      <c r="D6" s="237">
        <v>5000</v>
      </c>
      <c r="E6" s="238">
        <v>26975</v>
      </c>
    </row>
    <row r="7" spans="1:5" x14ac:dyDescent="0.25">
      <c r="A7" s="125">
        <v>6</v>
      </c>
      <c r="B7" s="236">
        <v>45512</v>
      </c>
      <c r="C7" s="121">
        <f t="shared" si="1"/>
        <v>5.3949999999999996</v>
      </c>
      <c r="D7" s="170">
        <v>5000</v>
      </c>
      <c r="E7" s="171">
        <v>26975</v>
      </c>
    </row>
    <row r="8" spans="1:5" x14ac:dyDescent="0.25">
      <c r="A8" s="125">
        <v>7</v>
      </c>
      <c r="B8" s="236">
        <v>45516</v>
      </c>
      <c r="C8" s="121">
        <f t="shared" si="1"/>
        <v>5.3949999999999996</v>
      </c>
      <c r="D8" s="170">
        <v>5000</v>
      </c>
      <c r="E8" s="171">
        <v>26975</v>
      </c>
    </row>
    <row r="9" spans="1:5" x14ac:dyDescent="0.25">
      <c r="A9" s="125">
        <v>8</v>
      </c>
      <c r="B9" s="236">
        <v>45516</v>
      </c>
      <c r="C9" s="121">
        <f t="shared" si="1"/>
        <v>5.3949999999999996</v>
      </c>
      <c r="D9" s="170">
        <v>4000</v>
      </c>
      <c r="E9" s="171">
        <v>21580</v>
      </c>
    </row>
    <row r="10" spans="1:5" x14ac:dyDescent="0.25">
      <c r="A10" s="125">
        <v>9</v>
      </c>
      <c r="B10" s="236">
        <v>45516</v>
      </c>
      <c r="C10" s="122">
        <f t="shared" si="1"/>
        <v>5.3949999999999996</v>
      </c>
      <c r="D10" s="170">
        <v>5000</v>
      </c>
      <c r="E10" s="171">
        <v>26975</v>
      </c>
    </row>
    <row r="11" spans="1:5" x14ac:dyDescent="0.25">
      <c r="A11" s="125">
        <v>10</v>
      </c>
      <c r="B11" s="236">
        <v>45519</v>
      </c>
      <c r="C11" s="122">
        <f t="shared" si="1"/>
        <v>5.3949999999999996</v>
      </c>
      <c r="D11" s="170">
        <v>7000</v>
      </c>
      <c r="E11" s="171">
        <v>37765</v>
      </c>
    </row>
    <row r="12" spans="1:5" x14ac:dyDescent="0.25">
      <c r="A12" s="125">
        <v>11</v>
      </c>
      <c r="B12" s="236">
        <v>45520</v>
      </c>
      <c r="C12" s="122">
        <f t="shared" si="1"/>
        <v>5.3949999999999996</v>
      </c>
      <c r="D12" s="170">
        <v>3000</v>
      </c>
      <c r="E12" s="171">
        <v>16185</v>
      </c>
    </row>
    <row r="13" spans="1:5" x14ac:dyDescent="0.25">
      <c r="A13" s="125">
        <v>12</v>
      </c>
      <c r="B13" s="236">
        <v>45521</v>
      </c>
      <c r="C13" s="122">
        <f t="shared" si="1"/>
        <v>5.3949999999999996</v>
      </c>
      <c r="D13" s="170">
        <v>5000</v>
      </c>
      <c r="E13" s="171">
        <v>26975</v>
      </c>
    </row>
    <row r="14" spans="1:5" x14ac:dyDescent="0.25">
      <c r="A14" s="125">
        <v>13</v>
      </c>
      <c r="B14" s="236">
        <v>45524</v>
      </c>
      <c r="C14" s="122">
        <f t="shared" si="1"/>
        <v>5.3949999999999996</v>
      </c>
      <c r="D14" s="170">
        <v>5000</v>
      </c>
      <c r="E14" s="171">
        <v>26975</v>
      </c>
    </row>
    <row r="15" spans="1:5" x14ac:dyDescent="0.25">
      <c r="A15" s="125">
        <v>14</v>
      </c>
      <c r="B15" s="236">
        <v>45525</v>
      </c>
      <c r="C15" s="122">
        <f t="shared" si="1"/>
        <v>5.3949999999999996</v>
      </c>
      <c r="D15" s="170">
        <v>5000</v>
      </c>
      <c r="E15" s="171">
        <v>26975</v>
      </c>
    </row>
    <row r="16" spans="1:5" x14ac:dyDescent="0.25">
      <c r="A16" s="125">
        <v>15</v>
      </c>
      <c r="B16" s="236">
        <v>45525</v>
      </c>
      <c r="C16" s="122">
        <f t="shared" si="1"/>
        <v>5.3949999999999996</v>
      </c>
      <c r="D16" s="170">
        <v>5000</v>
      </c>
      <c r="E16" s="171">
        <v>26975</v>
      </c>
    </row>
    <row r="17" spans="1:5" x14ac:dyDescent="0.25">
      <c r="A17" s="125">
        <v>16</v>
      </c>
      <c r="B17" s="236">
        <v>45527</v>
      </c>
      <c r="C17" s="122">
        <f t="shared" si="1"/>
        <v>5.3949999999999996</v>
      </c>
      <c r="D17" s="170">
        <v>3000</v>
      </c>
      <c r="E17" s="171">
        <v>16185</v>
      </c>
    </row>
    <row r="18" spans="1:5" x14ac:dyDescent="0.25">
      <c r="A18" s="125">
        <v>17</v>
      </c>
      <c r="B18" s="236">
        <v>45530</v>
      </c>
      <c r="C18" s="122">
        <f t="shared" si="1"/>
        <v>5.3949999999999996</v>
      </c>
      <c r="D18" s="170">
        <v>5000</v>
      </c>
      <c r="E18" s="171">
        <v>26975</v>
      </c>
    </row>
    <row r="19" spans="1:5" x14ac:dyDescent="0.25">
      <c r="A19" s="125">
        <v>18</v>
      </c>
      <c r="B19" s="236">
        <v>45534</v>
      </c>
      <c r="C19" s="122">
        <f t="shared" si="1"/>
        <v>5.3</v>
      </c>
      <c r="D19" s="170">
        <v>4000</v>
      </c>
      <c r="E19" s="171">
        <v>21200</v>
      </c>
    </row>
    <row r="20" spans="1:5" x14ac:dyDescent="0.25">
      <c r="A20" s="125">
        <v>19</v>
      </c>
      <c r="B20" s="239">
        <v>45535</v>
      </c>
      <c r="C20" s="240">
        <f t="shared" si="1"/>
        <v>5.3</v>
      </c>
      <c r="D20" s="172">
        <v>5000</v>
      </c>
      <c r="E20" s="124">
        <v>26500</v>
      </c>
    </row>
    <row r="21" spans="1:5" x14ac:dyDescent="0.25">
      <c r="B21" s="60"/>
      <c r="C21" s="89" t="s">
        <v>264</v>
      </c>
      <c r="D21" s="86">
        <f>SUM(D2:D20)</f>
        <v>91000</v>
      </c>
      <c r="E21" s="87">
        <f>SUM(E2:E20)</f>
        <v>491397</v>
      </c>
    </row>
    <row r="22" spans="1:5" x14ac:dyDescent="0.25">
      <c r="B22" s="60"/>
      <c r="C22" s="60"/>
      <c r="D22" s="86"/>
      <c r="E22" s="87"/>
    </row>
    <row r="23" spans="1:5" ht="15.75" x14ac:dyDescent="0.25">
      <c r="B23" s="506" t="s">
        <v>265</v>
      </c>
      <c r="C23" s="506"/>
      <c r="D23" s="507">
        <f>SUM(E2:E20)/SUM(D2:D20)</f>
        <v>5.3999670329670328</v>
      </c>
      <c r="E23" s="507"/>
    </row>
    <row r="24" spans="1:5" x14ac:dyDescent="0.25">
      <c r="B24" s="60"/>
      <c r="C24" s="60"/>
      <c r="D24" s="86"/>
      <c r="E24" s="87"/>
    </row>
    <row r="25" spans="1:5" x14ac:dyDescent="0.25">
      <c r="B25" s="60"/>
      <c r="C25" s="60"/>
      <c r="D25" s="86"/>
      <c r="E25" s="87"/>
    </row>
    <row r="26" spans="1:5" x14ac:dyDescent="0.25">
      <c r="B26" s="60"/>
      <c r="C26" s="60"/>
      <c r="D26" s="86"/>
      <c r="E26" s="87"/>
    </row>
    <row r="27" spans="1:5" x14ac:dyDescent="0.25">
      <c r="B27" s="60"/>
      <c r="C27" s="60"/>
      <c r="D27" s="86"/>
      <c r="E27" s="87"/>
    </row>
    <row r="28" spans="1:5" x14ac:dyDescent="0.25">
      <c r="B28" s="60"/>
      <c r="C28" s="60"/>
      <c r="D28" s="86"/>
      <c r="E28" s="87"/>
    </row>
    <row r="29" spans="1:5" x14ac:dyDescent="0.25">
      <c r="B29" s="60"/>
      <c r="C29" s="60"/>
      <c r="D29" s="86"/>
      <c r="E29" s="87"/>
    </row>
    <row r="30" spans="1:5" x14ac:dyDescent="0.25">
      <c r="B30" s="60"/>
      <c r="C30" s="60"/>
      <c r="D30" s="86"/>
      <c r="E30" s="87"/>
    </row>
    <row r="31" spans="1:5" x14ac:dyDescent="0.25">
      <c r="B31" s="60"/>
      <c r="C31" s="60"/>
      <c r="D31" s="86"/>
      <c r="E31" s="87"/>
    </row>
    <row r="32" spans="1:5" x14ac:dyDescent="0.25">
      <c r="B32" s="60"/>
      <c r="C32" s="60"/>
      <c r="D32" s="86"/>
      <c r="E32" s="87"/>
    </row>
    <row r="33" spans="2:5" x14ac:dyDescent="0.25">
      <c r="B33" s="60"/>
      <c r="C33" s="60"/>
      <c r="D33" s="86"/>
      <c r="E33" s="87"/>
    </row>
    <row r="34" spans="2:5" x14ac:dyDescent="0.25">
      <c r="B34" s="60"/>
      <c r="C34" s="60"/>
      <c r="D34" s="86"/>
      <c r="E34" s="87"/>
    </row>
    <row r="35" spans="2:5" x14ac:dyDescent="0.25">
      <c r="B35" s="60"/>
      <c r="C35" s="60"/>
      <c r="D35" s="86"/>
      <c r="E35" s="87"/>
    </row>
    <row r="36" spans="2:5" x14ac:dyDescent="0.25">
      <c r="B36" s="60"/>
      <c r="C36" s="60"/>
      <c r="D36" s="86"/>
      <c r="E36" s="87"/>
    </row>
    <row r="37" spans="2:5" x14ac:dyDescent="0.25">
      <c r="B37" s="60"/>
      <c r="C37" s="60"/>
      <c r="D37" s="86"/>
      <c r="E37" s="87"/>
    </row>
    <row r="38" spans="2:5" x14ac:dyDescent="0.25">
      <c r="B38" s="60"/>
      <c r="C38" s="60"/>
      <c r="D38" s="86"/>
      <c r="E38" s="87"/>
    </row>
    <row r="39" spans="2:5" x14ac:dyDescent="0.25">
      <c r="B39" s="60"/>
      <c r="C39" s="60"/>
      <c r="D39" s="86"/>
      <c r="E39" s="60"/>
    </row>
    <row r="40" spans="2:5" x14ac:dyDescent="0.25">
      <c r="B40" s="60"/>
      <c r="C40" s="60"/>
      <c r="D40" s="86"/>
      <c r="E40" s="60"/>
    </row>
  </sheetData>
  <mergeCells count="2">
    <mergeCell ref="B23:C23"/>
    <mergeCell ref="D23:E2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3"/>
  <sheetViews>
    <sheetView workbookViewId="0">
      <selection activeCell="F6" sqref="F6"/>
    </sheetView>
  </sheetViews>
  <sheetFormatPr defaultRowHeight="15" x14ac:dyDescent="0.25"/>
  <cols>
    <col min="1" max="1" width="15.5703125" customWidth="1"/>
    <col min="2" max="2" width="29.42578125" customWidth="1"/>
    <col min="3" max="3" width="16.42578125" customWidth="1"/>
  </cols>
  <sheetData>
    <row r="2" spans="1:3" ht="18.75" x14ac:dyDescent="0.25">
      <c r="A2" s="46" t="s">
        <v>144</v>
      </c>
      <c r="B2" s="46" t="s">
        <v>145</v>
      </c>
      <c r="C2" s="46" t="s">
        <v>146</v>
      </c>
    </row>
    <row r="3" spans="1:3" x14ac:dyDescent="0.25">
      <c r="A3" s="207">
        <f>ROUNDUP('FATOR DE UTILIZAÇÃO'!L38*30,0)</f>
        <v>89</v>
      </c>
      <c r="B3" s="35" t="s">
        <v>193</v>
      </c>
      <c r="C3" s="32">
        <f>C12+C13</f>
        <v>4046.0564999999997</v>
      </c>
    </row>
    <row r="4" spans="1:3" x14ac:dyDescent="0.25">
      <c r="A4" s="36">
        <v>1</v>
      </c>
      <c r="B4" s="37" t="s">
        <v>194</v>
      </c>
      <c r="C4" s="33">
        <v>5677</v>
      </c>
    </row>
    <row r="5" spans="1:3" x14ac:dyDescent="0.25">
      <c r="A5" s="65">
        <v>2</v>
      </c>
      <c r="B5" s="76" t="s">
        <v>248</v>
      </c>
      <c r="C5" s="77">
        <v>2799.69</v>
      </c>
    </row>
    <row r="6" spans="1:3" x14ac:dyDescent="0.25">
      <c r="A6" s="65">
        <v>1</v>
      </c>
      <c r="B6" s="76" t="s">
        <v>266</v>
      </c>
      <c r="C6" s="77">
        <v>3518.31</v>
      </c>
    </row>
    <row r="7" spans="1:3" x14ac:dyDescent="0.25">
      <c r="A7" s="44">
        <v>4</v>
      </c>
      <c r="B7" s="38" t="s">
        <v>192</v>
      </c>
      <c r="C7" s="34">
        <v>2903.64</v>
      </c>
    </row>
    <row r="8" spans="1:3" ht="18.75" x14ac:dyDescent="0.25">
      <c r="A8" s="509" t="s">
        <v>147</v>
      </c>
      <c r="B8" s="509"/>
      <c r="C8" s="120">
        <f>SUM(A3:A7)</f>
        <v>97</v>
      </c>
    </row>
    <row r="9" spans="1:3" ht="18" customHeight="1" x14ac:dyDescent="0.25">
      <c r="A9" s="510" t="s">
        <v>150</v>
      </c>
      <c r="B9" s="510"/>
      <c r="C9" s="512">
        <f>(A3*C3+A4*C4+A5*C5+A6*C6+A7*C7)/C8</f>
        <v>3984.6214278350512</v>
      </c>
    </row>
    <row r="10" spans="1:3" ht="23.25" customHeight="1" x14ac:dyDescent="0.25">
      <c r="A10" s="511"/>
      <c r="B10" s="511"/>
      <c r="C10" s="513"/>
    </row>
    <row r="11" spans="1:3" x14ac:dyDescent="0.25">
      <c r="A11" s="45">
        <f>SUM(A3:A7)</f>
        <v>97</v>
      </c>
    </row>
    <row r="12" spans="1:3" x14ac:dyDescent="0.25">
      <c r="A12" s="508" t="s">
        <v>180</v>
      </c>
      <c r="B12" s="508"/>
      <c r="C12" s="57">
        <v>3518.31</v>
      </c>
    </row>
    <row r="13" spans="1:3" x14ac:dyDescent="0.25">
      <c r="A13" s="508" t="s">
        <v>181</v>
      </c>
      <c r="B13" s="508"/>
      <c r="C13" s="57">
        <f>C12*0.15</f>
        <v>527.74649999999997</v>
      </c>
    </row>
  </sheetData>
  <mergeCells count="5">
    <mergeCell ref="A12:B12"/>
    <mergeCell ref="A13:B13"/>
    <mergeCell ref="A8:B8"/>
    <mergeCell ref="A9:B10"/>
    <mergeCell ref="C9:C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0"/>
  <sheetViews>
    <sheetView topLeftCell="A45" workbookViewId="0">
      <selection activeCell="O2" sqref="O2"/>
    </sheetView>
  </sheetViews>
  <sheetFormatPr defaultRowHeight="15" x14ac:dyDescent="0.25"/>
  <cols>
    <col min="1" max="12" width="6.5703125" customWidth="1"/>
    <col min="13" max="14" width="5.5703125" customWidth="1"/>
  </cols>
  <sheetData>
    <row r="1" spans="1:12" ht="18" customHeight="1" x14ac:dyDescent="0.3">
      <c r="A1" s="545" t="s">
        <v>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7"/>
    </row>
    <row r="2" spans="1:12" ht="18" customHeight="1" x14ac:dyDescent="0.25">
      <c r="A2" s="572" t="s">
        <v>16</v>
      </c>
      <c r="B2" s="573"/>
      <c r="C2" s="573"/>
      <c r="D2" s="573"/>
      <c r="E2" s="573"/>
      <c r="F2" s="573"/>
      <c r="G2" s="573"/>
      <c r="H2" s="573"/>
      <c r="I2" s="573"/>
      <c r="J2" s="576">
        <f>'CÁLCULO CONSUMO'!F1</f>
        <v>0.41066562582542909</v>
      </c>
      <c r="K2" s="576"/>
      <c r="L2" s="577"/>
    </row>
    <row r="3" spans="1:12" ht="18" customHeight="1" x14ac:dyDescent="0.25">
      <c r="A3" s="568" t="s">
        <v>113</v>
      </c>
      <c r="B3" s="569"/>
      <c r="C3" s="569"/>
      <c r="D3" s="569"/>
      <c r="E3" s="569"/>
      <c r="F3" s="569"/>
      <c r="G3" s="569"/>
      <c r="H3" s="569"/>
      <c r="I3" s="569"/>
      <c r="J3" s="574">
        <f>'PREÇO DO DIESEL'!D23</f>
        <v>5.3999670329670328</v>
      </c>
      <c r="K3" s="574"/>
      <c r="L3" s="575"/>
    </row>
    <row r="4" spans="1:12" ht="18" customHeight="1" x14ac:dyDescent="0.25">
      <c r="A4" s="563" t="s">
        <v>1</v>
      </c>
      <c r="B4" s="564"/>
      <c r="C4" s="564"/>
      <c r="D4" s="564"/>
      <c r="E4" s="564"/>
      <c r="F4" s="564"/>
      <c r="G4" s="564"/>
      <c r="H4" s="564"/>
      <c r="I4" s="564"/>
      <c r="J4" s="565">
        <f>'KM PROGRAMADA'!B104</f>
        <v>199769.42737500006</v>
      </c>
      <c r="K4" s="566"/>
      <c r="L4" s="567"/>
    </row>
    <row r="5" spans="1:12" ht="18" customHeight="1" x14ac:dyDescent="0.25">
      <c r="A5" s="543" t="s">
        <v>2</v>
      </c>
      <c r="B5" s="543"/>
      <c r="C5" s="543"/>
      <c r="D5" s="543"/>
      <c r="E5" s="543"/>
      <c r="F5" s="543"/>
      <c r="G5" s="543"/>
      <c r="H5" s="543"/>
      <c r="I5" s="543"/>
      <c r="J5" s="544">
        <f>J2*J3*J4</f>
        <v>443004.85477035254</v>
      </c>
      <c r="K5" s="544"/>
      <c r="L5" s="544"/>
    </row>
    <row r="6" spans="1:12" ht="2.1" customHeight="1" x14ac:dyDescent="0.25">
      <c r="A6" s="5"/>
      <c r="B6" s="5"/>
      <c r="C6" s="5"/>
      <c r="D6" s="5"/>
      <c r="E6" s="5"/>
      <c r="F6" s="5"/>
      <c r="G6" s="5"/>
      <c r="H6" s="5"/>
      <c r="I6" s="5"/>
      <c r="J6" s="6"/>
      <c r="K6" s="6"/>
      <c r="L6" s="6"/>
    </row>
    <row r="7" spans="1:12" x14ac:dyDescent="0.25">
      <c r="A7" s="514" t="s">
        <v>196</v>
      </c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6"/>
    </row>
    <row r="8" spans="1:12" ht="36" customHeight="1" x14ac:dyDescent="0.25">
      <c r="A8" s="514" t="s">
        <v>510</v>
      </c>
      <c r="B8" s="515"/>
      <c r="C8" s="515"/>
      <c r="D8" s="515"/>
      <c r="E8" s="515"/>
      <c r="F8" s="515"/>
      <c r="G8" s="515"/>
      <c r="H8" s="515"/>
      <c r="I8" s="515"/>
      <c r="J8" s="515"/>
      <c r="K8" s="515"/>
      <c r="L8" s="516"/>
    </row>
    <row r="9" spans="1:12" ht="2.1" customHeight="1" x14ac:dyDescent="0.25">
      <c r="A9" s="5"/>
      <c r="B9" s="5"/>
      <c r="C9" s="5"/>
      <c r="D9" s="5"/>
      <c r="E9" s="5"/>
      <c r="F9" s="5"/>
      <c r="G9" s="5"/>
      <c r="H9" s="5"/>
      <c r="I9" s="5"/>
      <c r="J9" s="6"/>
      <c r="K9" s="6"/>
      <c r="L9" s="6"/>
    </row>
    <row r="10" spans="1:12" ht="2.1" customHeight="1" x14ac:dyDescent="0.25"/>
    <row r="11" spans="1:12" ht="18" customHeight="1" x14ac:dyDescent="0.3">
      <c r="A11" s="545" t="s">
        <v>3</v>
      </c>
      <c r="B11" s="546"/>
      <c r="C11" s="546"/>
      <c r="D11" s="546"/>
      <c r="E11" s="546"/>
      <c r="F11" s="546"/>
      <c r="G11" s="546"/>
      <c r="H11" s="546"/>
      <c r="I11" s="546"/>
      <c r="J11" s="546"/>
      <c r="K11" s="546"/>
      <c r="L11" s="547"/>
    </row>
    <row r="12" spans="1:12" ht="25.15" customHeight="1" x14ac:dyDescent="0.25">
      <c r="A12" s="572" t="s">
        <v>114</v>
      </c>
      <c r="B12" s="573"/>
      <c r="C12" s="573"/>
      <c r="D12" s="573"/>
      <c r="E12" s="573"/>
      <c r="F12" s="573"/>
      <c r="G12" s="573"/>
      <c r="H12" s="573"/>
      <c r="I12" s="573"/>
      <c r="J12" s="578">
        <v>2.4E-2</v>
      </c>
      <c r="K12" s="578"/>
      <c r="L12" s="579"/>
    </row>
    <row r="13" spans="1:12" ht="18" customHeight="1" x14ac:dyDescent="0.25">
      <c r="A13" s="568" t="s">
        <v>34</v>
      </c>
      <c r="B13" s="569"/>
      <c r="C13" s="569"/>
      <c r="D13" s="569"/>
      <c r="E13" s="569"/>
      <c r="F13" s="569"/>
      <c r="G13" s="569"/>
      <c r="H13" s="569"/>
      <c r="I13" s="569"/>
      <c r="J13" s="570">
        <f>J3</f>
        <v>5.3999670329670328</v>
      </c>
      <c r="K13" s="570"/>
      <c r="L13" s="571"/>
    </row>
    <row r="14" spans="1:12" ht="18" customHeight="1" x14ac:dyDescent="0.25">
      <c r="A14" s="563" t="s">
        <v>1</v>
      </c>
      <c r="B14" s="564"/>
      <c r="C14" s="564"/>
      <c r="D14" s="564"/>
      <c r="E14" s="564"/>
      <c r="F14" s="564"/>
      <c r="G14" s="564"/>
      <c r="H14" s="564"/>
      <c r="I14" s="564"/>
      <c r="J14" s="565">
        <f>J4</f>
        <v>199769.42737500006</v>
      </c>
      <c r="K14" s="566"/>
      <c r="L14" s="567"/>
    </row>
    <row r="15" spans="1:12" ht="18" customHeight="1" x14ac:dyDescent="0.25">
      <c r="A15" s="543" t="s">
        <v>4</v>
      </c>
      <c r="B15" s="543"/>
      <c r="C15" s="543"/>
      <c r="D15" s="543"/>
      <c r="E15" s="543"/>
      <c r="F15" s="543"/>
      <c r="G15" s="543"/>
      <c r="H15" s="543"/>
      <c r="I15" s="543"/>
      <c r="J15" s="544">
        <f>J12*J13*J14</f>
        <v>25889.959728472852</v>
      </c>
      <c r="K15" s="544"/>
      <c r="L15" s="544"/>
    </row>
    <row r="16" spans="1:12" ht="2.1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</row>
    <row r="17" spans="1:12" ht="47.1" customHeight="1" x14ac:dyDescent="0.25">
      <c r="A17" s="514" t="s">
        <v>195</v>
      </c>
      <c r="B17" s="515"/>
      <c r="C17" s="515"/>
      <c r="D17" s="515"/>
      <c r="E17" s="515"/>
      <c r="F17" s="515"/>
      <c r="G17" s="515"/>
      <c r="H17" s="515"/>
      <c r="I17" s="515"/>
      <c r="J17" s="515"/>
      <c r="K17" s="515"/>
      <c r="L17" s="516"/>
    </row>
    <row r="18" spans="1:12" ht="2.1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</row>
    <row r="19" spans="1:12" ht="2.1" customHeight="1" x14ac:dyDescent="0.25"/>
    <row r="20" spans="1:12" ht="18" customHeight="1" x14ac:dyDescent="0.3">
      <c r="A20" s="545" t="s">
        <v>5</v>
      </c>
      <c r="B20" s="546"/>
      <c r="C20" s="546"/>
      <c r="D20" s="546"/>
      <c r="E20" s="546"/>
      <c r="F20" s="546"/>
      <c r="G20" s="546"/>
      <c r="H20" s="546"/>
      <c r="I20" s="546"/>
      <c r="J20" s="546"/>
      <c r="K20" s="546"/>
      <c r="L20" s="547"/>
    </row>
    <row r="21" spans="1:12" ht="25.15" customHeight="1" x14ac:dyDescent="0.25">
      <c r="A21" s="572" t="s">
        <v>115</v>
      </c>
      <c r="B21" s="573"/>
      <c r="C21" s="573"/>
      <c r="D21" s="573"/>
      <c r="E21" s="573"/>
      <c r="F21" s="573"/>
      <c r="G21" s="573"/>
      <c r="H21" s="573"/>
      <c r="I21" s="573"/>
      <c r="J21" s="550">
        <v>0.03</v>
      </c>
      <c r="K21" s="550"/>
      <c r="L21" s="551"/>
    </row>
    <row r="22" spans="1:12" ht="18" customHeight="1" x14ac:dyDescent="0.25">
      <c r="A22" s="568" t="s">
        <v>506</v>
      </c>
      <c r="B22" s="569"/>
      <c r="C22" s="569"/>
      <c r="D22" s="569"/>
      <c r="E22" s="569"/>
      <c r="F22" s="569"/>
      <c r="G22" s="569"/>
      <c r="H22" s="569"/>
      <c r="I22" s="569"/>
      <c r="J22" s="570">
        <v>1.88</v>
      </c>
      <c r="K22" s="570"/>
      <c r="L22" s="571"/>
    </row>
    <row r="23" spans="1:12" ht="18" customHeight="1" x14ac:dyDescent="0.25">
      <c r="A23" s="591" t="s">
        <v>507</v>
      </c>
      <c r="B23" s="592"/>
      <c r="C23" s="592"/>
      <c r="D23" s="592"/>
      <c r="E23" s="592"/>
      <c r="F23" s="592"/>
      <c r="G23" s="592"/>
      <c r="H23" s="592"/>
      <c r="I23" s="593"/>
      <c r="J23" s="588">
        <f>J2</f>
        <v>0.41066562582542909</v>
      </c>
      <c r="K23" s="589"/>
      <c r="L23" s="590"/>
    </row>
    <row r="24" spans="1:12" ht="18" customHeight="1" x14ac:dyDescent="0.25">
      <c r="A24" s="563" t="s">
        <v>1</v>
      </c>
      <c r="B24" s="564"/>
      <c r="C24" s="564"/>
      <c r="D24" s="564"/>
      <c r="E24" s="564"/>
      <c r="F24" s="564"/>
      <c r="G24" s="564"/>
      <c r="H24" s="564"/>
      <c r="I24" s="564"/>
      <c r="J24" s="565">
        <f>J4</f>
        <v>199769.42737500006</v>
      </c>
      <c r="K24" s="566"/>
      <c r="L24" s="567"/>
    </row>
    <row r="25" spans="1:12" ht="18" customHeight="1" x14ac:dyDescent="0.25">
      <c r="A25" s="543" t="s">
        <v>6</v>
      </c>
      <c r="B25" s="543"/>
      <c r="C25" s="543"/>
      <c r="D25" s="543"/>
      <c r="E25" s="543"/>
      <c r="F25" s="543"/>
      <c r="G25" s="543"/>
      <c r="H25" s="543"/>
      <c r="I25" s="543"/>
      <c r="J25" s="544">
        <f>J21*J22*J23*J24</f>
        <v>4626.9678419350485</v>
      </c>
      <c r="K25" s="544"/>
      <c r="L25" s="544"/>
    </row>
    <row r="26" spans="1:12" ht="2.1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</row>
    <row r="27" spans="1:12" ht="35.1" customHeight="1" x14ac:dyDescent="0.25">
      <c r="A27" s="514" t="s">
        <v>151</v>
      </c>
      <c r="B27" s="515"/>
      <c r="C27" s="515"/>
      <c r="D27" s="515"/>
      <c r="E27" s="515"/>
      <c r="F27" s="515"/>
      <c r="G27" s="515"/>
      <c r="H27" s="515"/>
      <c r="I27" s="515"/>
      <c r="J27" s="515"/>
      <c r="K27" s="515"/>
      <c r="L27" s="516"/>
    </row>
    <row r="28" spans="1:12" ht="2.1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6"/>
      <c r="K28" s="6"/>
      <c r="L28" s="6"/>
    </row>
    <row r="29" spans="1:12" ht="18" customHeight="1" x14ac:dyDescent="0.3">
      <c r="A29" s="545" t="s">
        <v>7</v>
      </c>
      <c r="B29" s="546"/>
      <c r="C29" s="546"/>
      <c r="D29" s="546"/>
      <c r="E29" s="546"/>
      <c r="F29" s="546"/>
      <c r="G29" s="546"/>
      <c r="H29" s="546"/>
      <c r="I29" s="546"/>
      <c r="J29" s="546"/>
      <c r="K29" s="546"/>
      <c r="L29" s="547"/>
    </row>
    <row r="30" spans="1:12" ht="18" customHeight="1" x14ac:dyDescent="0.25">
      <c r="A30" s="572" t="s">
        <v>8</v>
      </c>
      <c r="B30" s="573"/>
      <c r="C30" s="573"/>
      <c r="D30" s="573"/>
      <c r="E30" s="573"/>
      <c r="F30" s="573"/>
      <c r="G30" s="573"/>
      <c r="H30" s="573"/>
      <c r="I30" s="573"/>
      <c r="J30" s="584">
        <v>2460.77</v>
      </c>
      <c r="K30" s="584"/>
      <c r="L30" s="585"/>
    </row>
    <row r="31" spans="1:12" ht="18" customHeight="1" x14ac:dyDescent="0.25">
      <c r="A31" s="568" t="s">
        <v>9</v>
      </c>
      <c r="B31" s="569"/>
      <c r="C31" s="569"/>
      <c r="D31" s="569"/>
      <c r="E31" s="569"/>
      <c r="F31" s="569"/>
      <c r="G31" s="569"/>
      <c r="H31" s="569"/>
      <c r="I31" s="569"/>
      <c r="J31" s="582">
        <v>629</v>
      </c>
      <c r="K31" s="582"/>
      <c r="L31" s="583"/>
    </row>
    <row r="32" spans="1:12" ht="18" customHeight="1" x14ac:dyDescent="0.25">
      <c r="A32" s="568" t="s">
        <v>116</v>
      </c>
      <c r="B32" s="569"/>
      <c r="C32" s="569"/>
      <c r="D32" s="569"/>
      <c r="E32" s="569"/>
      <c r="F32" s="569"/>
      <c r="G32" s="569"/>
      <c r="H32" s="569"/>
      <c r="I32" s="569"/>
      <c r="J32" s="580">
        <v>2</v>
      </c>
      <c r="K32" s="580"/>
      <c r="L32" s="581"/>
    </row>
    <row r="33" spans="1:21" ht="18" customHeight="1" x14ac:dyDescent="0.25">
      <c r="A33" s="568" t="s">
        <v>10</v>
      </c>
      <c r="B33" s="569"/>
      <c r="C33" s="569"/>
      <c r="D33" s="569"/>
      <c r="E33" s="569"/>
      <c r="F33" s="569"/>
      <c r="G33" s="569"/>
      <c r="H33" s="569"/>
      <c r="I33" s="569"/>
      <c r="J33" s="580">
        <v>6</v>
      </c>
      <c r="K33" s="580"/>
      <c r="L33" s="581"/>
    </row>
    <row r="34" spans="1:21" ht="18" customHeight="1" x14ac:dyDescent="0.25">
      <c r="A34" s="568" t="s">
        <v>1</v>
      </c>
      <c r="B34" s="569"/>
      <c r="C34" s="569"/>
      <c r="D34" s="569"/>
      <c r="E34" s="569"/>
      <c r="F34" s="569"/>
      <c r="G34" s="569"/>
      <c r="H34" s="569"/>
      <c r="I34" s="569"/>
      <c r="J34" s="582">
        <f>J4</f>
        <v>199769.42737500006</v>
      </c>
      <c r="K34" s="580"/>
      <c r="L34" s="581"/>
    </row>
    <row r="35" spans="1:21" ht="18" customHeight="1" x14ac:dyDescent="0.25">
      <c r="A35" s="563" t="s">
        <v>117</v>
      </c>
      <c r="B35" s="564"/>
      <c r="C35" s="564"/>
      <c r="D35" s="564"/>
      <c r="E35" s="564"/>
      <c r="F35" s="564"/>
      <c r="G35" s="564"/>
      <c r="H35" s="564"/>
      <c r="I35" s="564"/>
      <c r="J35" s="586">
        <v>185000</v>
      </c>
      <c r="K35" s="586"/>
      <c r="L35" s="587"/>
    </row>
    <row r="36" spans="1:21" ht="18" customHeight="1" x14ac:dyDescent="0.25">
      <c r="A36" s="543" t="s">
        <v>11</v>
      </c>
      <c r="B36" s="543"/>
      <c r="C36" s="543"/>
      <c r="D36" s="543"/>
      <c r="E36" s="543"/>
      <c r="F36" s="543"/>
      <c r="G36" s="543"/>
      <c r="H36" s="543"/>
      <c r="I36" s="543"/>
      <c r="J36" s="544">
        <f>((J30+J31*J32)*J33*J34)/J35</f>
        <v>24093.942273707966</v>
      </c>
      <c r="K36" s="544"/>
      <c r="L36" s="544"/>
    </row>
    <row r="37" spans="1:21" ht="2.1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6"/>
      <c r="K37" s="6"/>
      <c r="L37" s="6"/>
    </row>
    <row r="38" spans="1:21" s="48" customFormat="1" ht="46.35" customHeight="1" x14ac:dyDescent="0.25">
      <c r="A38" s="514" t="s">
        <v>152</v>
      </c>
      <c r="B38" s="515"/>
      <c r="C38" s="515"/>
      <c r="D38" s="515"/>
      <c r="E38" s="515"/>
      <c r="F38" s="515"/>
      <c r="G38" s="515"/>
      <c r="H38" s="515"/>
      <c r="I38" s="515"/>
      <c r="J38" s="515"/>
      <c r="K38" s="515"/>
      <c r="L38" s="516"/>
    </row>
    <row r="39" spans="1:21" s="48" customFormat="1" ht="48.75" customHeight="1" x14ac:dyDescent="0.25">
      <c r="A39" s="554" t="s">
        <v>509</v>
      </c>
      <c r="B39" s="555"/>
      <c r="C39" s="555"/>
      <c r="D39" s="555"/>
      <c r="E39" s="555"/>
      <c r="F39" s="555"/>
      <c r="G39" s="555"/>
      <c r="H39" s="555"/>
      <c r="I39" s="555"/>
      <c r="J39" s="555"/>
      <c r="K39" s="555"/>
      <c r="L39" s="556"/>
    </row>
    <row r="40" spans="1:21" s="48" customFormat="1" ht="35.1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21" s="48" customFormat="1" ht="35.1" customHeight="1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21" ht="2.1" customHeight="1" x14ac:dyDescent="0.25"/>
    <row r="43" spans="1:21" ht="25.15" customHeight="1" x14ac:dyDescent="0.3">
      <c r="A43" s="545" t="s">
        <v>14</v>
      </c>
      <c r="B43" s="546"/>
      <c r="C43" s="546"/>
      <c r="D43" s="546"/>
      <c r="E43" s="546"/>
      <c r="F43" s="546"/>
      <c r="G43" s="546"/>
      <c r="H43" s="546"/>
      <c r="I43" s="546"/>
      <c r="J43" s="546"/>
      <c r="K43" s="546"/>
      <c r="L43" s="547"/>
    </row>
    <row r="44" spans="1:21" ht="25.15" customHeight="1" x14ac:dyDescent="0.25">
      <c r="A44" s="548" t="s">
        <v>12</v>
      </c>
      <c r="B44" s="549"/>
      <c r="C44" s="549"/>
      <c r="D44" s="549"/>
      <c r="E44" s="549"/>
      <c r="F44" s="549"/>
      <c r="G44" s="549"/>
      <c r="H44" s="549"/>
      <c r="I44" s="549"/>
      <c r="J44" s="550">
        <v>0.08</v>
      </c>
      <c r="K44" s="550"/>
      <c r="L44" s="551"/>
      <c r="O44" s="58"/>
      <c r="P44" s="58"/>
      <c r="Q44" s="58"/>
      <c r="R44" s="58"/>
      <c r="S44" s="58"/>
      <c r="T44" s="58"/>
      <c r="U44" s="58"/>
    </row>
    <row r="45" spans="1:21" ht="25.15" customHeight="1" x14ac:dyDescent="0.25">
      <c r="A45" s="552" t="s">
        <v>13</v>
      </c>
      <c r="B45" s="553"/>
      <c r="C45" s="553"/>
      <c r="D45" s="553"/>
      <c r="E45" s="553"/>
      <c r="F45" s="553"/>
      <c r="G45" s="553"/>
      <c r="H45" s="553"/>
      <c r="I45" s="553"/>
      <c r="J45" s="561">
        <f>E50+K50</f>
        <v>33</v>
      </c>
      <c r="K45" s="561"/>
      <c r="L45" s="562"/>
      <c r="O45" s="9"/>
      <c r="P45" s="9"/>
      <c r="Q45" s="9"/>
      <c r="R45" s="9"/>
      <c r="S45" s="9"/>
      <c r="T45" s="9"/>
      <c r="U45" s="9"/>
    </row>
    <row r="46" spans="1:21" ht="25.15" customHeight="1" x14ac:dyDescent="0.25">
      <c r="A46" s="537" t="s">
        <v>118</v>
      </c>
      <c r="B46" s="538"/>
      <c r="C46" s="538"/>
      <c r="D46" s="538"/>
      <c r="E46" s="538"/>
      <c r="F46" s="538"/>
      <c r="G46" s="538"/>
      <c r="H46" s="538"/>
      <c r="I46" s="539"/>
      <c r="J46" s="540">
        <f>((E49*E50)+(K49*K50))/(E50+K50)</f>
        <v>739263.63636363635</v>
      </c>
      <c r="K46" s="541"/>
      <c r="L46" s="542"/>
    </row>
    <row r="47" spans="1:21" ht="25.15" customHeight="1" x14ac:dyDescent="0.25">
      <c r="A47" s="543" t="s">
        <v>15</v>
      </c>
      <c r="B47" s="543"/>
      <c r="C47" s="543"/>
      <c r="D47" s="543"/>
      <c r="E47" s="543"/>
      <c r="F47" s="543"/>
      <c r="G47" s="543"/>
      <c r="H47" s="543"/>
      <c r="I47" s="543"/>
      <c r="J47" s="544">
        <f>(J44*J45*J46/12)</f>
        <v>162638</v>
      </c>
      <c r="K47" s="544"/>
      <c r="L47" s="544"/>
    </row>
    <row r="48" spans="1:21" ht="2.1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6"/>
      <c r="K48" s="6"/>
      <c r="L48" s="6"/>
    </row>
    <row r="49" spans="1:13" ht="20.100000000000001" customHeight="1" x14ac:dyDescent="0.25">
      <c r="A49" s="559" t="s">
        <v>153</v>
      </c>
      <c r="B49" s="560"/>
      <c r="C49" s="560"/>
      <c r="D49" s="560"/>
      <c r="E49" s="557">
        <v>706900</v>
      </c>
      <c r="F49" s="558"/>
      <c r="G49" s="559" t="s">
        <v>154</v>
      </c>
      <c r="H49" s="560"/>
      <c r="I49" s="560"/>
      <c r="J49" s="560"/>
      <c r="K49" s="557">
        <v>742500</v>
      </c>
      <c r="L49" s="558"/>
    </row>
    <row r="50" spans="1:13" ht="20.100000000000001" customHeight="1" x14ac:dyDescent="0.25">
      <c r="A50" s="559" t="s">
        <v>155</v>
      </c>
      <c r="B50" s="560"/>
      <c r="C50" s="560"/>
      <c r="D50" s="560"/>
      <c r="E50" s="594">
        <v>3</v>
      </c>
      <c r="F50" s="595"/>
      <c r="G50" s="559" t="s">
        <v>156</v>
      </c>
      <c r="H50" s="560"/>
      <c r="I50" s="560"/>
      <c r="J50" s="560"/>
      <c r="K50" s="594">
        <v>30</v>
      </c>
      <c r="L50" s="595"/>
    </row>
    <row r="51" spans="1:13" ht="15" customHeight="1" x14ac:dyDescent="0.25">
      <c r="A51" s="596" t="s">
        <v>157</v>
      </c>
      <c r="B51" s="597"/>
      <c r="C51" s="597"/>
      <c r="D51" s="597"/>
      <c r="E51" s="597"/>
      <c r="F51" s="597"/>
      <c r="G51" s="597"/>
      <c r="H51" s="597"/>
      <c r="I51" s="597"/>
      <c r="J51" s="597"/>
      <c r="K51" s="597"/>
      <c r="L51" s="598"/>
    </row>
    <row r="52" spans="1:13" ht="15" customHeight="1" x14ac:dyDescent="0.25">
      <c r="A52" s="535" t="s">
        <v>22</v>
      </c>
      <c r="B52" s="535"/>
      <c r="C52" s="536" t="s">
        <v>24</v>
      </c>
      <c r="D52" s="536"/>
      <c r="E52" s="536" t="s">
        <v>18</v>
      </c>
      <c r="F52" s="536"/>
      <c r="G52" s="536" t="s">
        <v>19</v>
      </c>
      <c r="H52" s="536"/>
      <c r="I52" s="536" t="s">
        <v>20</v>
      </c>
      <c r="J52" s="536"/>
      <c r="K52" s="536" t="s">
        <v>21</v>
      </c>
      <c r="L52" s="536"/>
    </row>
    <row r="53" spans="1:13" ht="20.100000000000001" customHeight="1" x14ac:dyDescent="0.25">
      <c r="A53" s="535" t="s">
        <v>23</v>
      </c>
      <c r="B53" s="535"/>
      <c r="C53" s="536" t="s">
        <v>158</v>
      </c>
      <c r="D53" s="536"/>
      <c r="E53" s="536" t="s">
        <v>159</v>
      </c>
      <c r="F53" s="536"/>
      <c r="G53" s="536" t="s">
        <v>160</v>
      </c>
      <c r="H53" s="536"/>
      <c r="I53" s="536" t="s">
        <v>161</v>
      </c>
      <c r="J53" s="536"/>
      <c r="K53" s="536" t="s">
        <v>162</v>
      </c>
      <c r="L53" s="536"/>
    </row>
    <row r="54" spans="1:13" ht="2.1" customHeight="1" x14ac:dyDescent="0.25"/>
    <row r="55" spans="1:13" ht="18" customHeight="1" x14ac:dyDescent="0.3">
      <c r="A55" s="545" t="s">
        <v>17</v>
      </c>
      <c r="B55" s="546"/>
      <c r="C55" s="546"/>
      <c r="D55" s="546"/>
      <c r="E55" s="546"/>
      <c r="F55" s="546"/>
      <c r="G55" s="546"/>
      <c r="H55" s="546"/>
      <c r="I55" s="546"/>
      <c r="J55" s="546"/>
      <c r="K55" s="546"/>
      <c r="L55" s="547"/>
    </row>
    <row r="56" spans="1:13" ht="25.15" customHeight="1" x14ac:dyDescent="0.25">
      <c r="A56" s="548" t="s">
        <v>119</v>
      </c>
      <c r="B56" s="549"/>
      <c r="C56" s="549"/>
      <c r="D56" s="549"/>
      <c r="E56" s="549"/>
      <c r="F56" s="549"/>
      <c r="G56" s="549"/>
      <c r="H56" s="549"/>
      <c r="I56" s="549"/>
      <c r="J56" s="550">
        <v>0.01</v>
      </c>
      <c r="K56" s="550"/>
      <c r="L56" s="551"/>
    </row>
    <row r="57" spans="1:13" ht="18" customHeight="1" x14ac:dyDescent="0.25">
      <c r="A57" s="552" t="s">
        <v>13</v>
      </c>
      <c r="B57" s="553"/>
      <c r="C57" s="553"/>
      <c r="D57" s="553"/>
      <c r="E57" s="553"/>
      <c r="F57" s="553"/>
      <c r="G57" s="553"/>
      <c r="H57" s="553"/>
      <c r="I57" s="553"/>
      <c r="J57" s="580">
        <f>J45</f>
        <v>33</v>
      </c>
      <c r="K57" s="580"/>
      <c r="L57" s="581"/>
    </row>
    <row r="58" spans="1:13" ht="18" customHeight="1" x14ac:dyDescent="0.25">
      <c r="A58" s="537" t="s">
        <v>25</v>
      </c>
      <c r="B58" s="538"/>
      <c r="C58" s="538"/>
      <c r="D58" s="538"/>
      <c r="E58" s="538"/>
      <c r="F58" s="538"/>
      <c r="G58" s="538"/>
      <c r="H58" s="538"/>
      <c r="I58" s="539"/>
      <c r="J58" s="540">
        <f>J46</f>
        <v>739263.63636363635</v>
      </c>
      <c r="K58" s="541"/>
      <c r="L58" s="542"/>
    </row>
    <row r="59" spans="1:13" ht="18" customHeight="1" x14ac:dyDescent="0.25">
      <c r="A59" s="543" t="s">
        <v>15</v>
      </c>
      <c r="B59" s="543"/>
      <c r="C59" s="543"/>
      <c r="D59" s="543"/>
      <c r="E59" s="543"/>
      <c r="F59" s="543"/>
      <c r="G59" s="543"/>
      <c r="H59" s="543"/>
      <c r="I59" s="543"/>
      <c r="J59" s="544">
        <f>(J56*J57*J58/12)</f>
        <v>20329.75</v>
      </c>
      <c r="K59" s="544"/>
      <c r="L59" s="544"/>
    </row>
    <row r="60" spans="1:13" ht="2.1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</row>
    <row r="61" spans="1:13" ht="40.35" customHeight="1" x14ac:dyDescent="0.25">
      <c r="A61" s="514" t="s">
        <v>163</v>
      </c>
      <c r="B61" s="515"/>
      <c r="C61" s="515"/>
      <c r="D61" s="515"/>
      <c r="E61" s="515"/>
      <c r="F61" s="515"/>
      <c r="G61" s="515"/>
      <c r="H61" s="515"/>
      <c r="I61" s="515"/>
      <c r="J61" s="515"/>
      <c r="K61" s="515"/>
      <c r="L61" s="516"/>
    </row>
    <row r="62" spans="1:13" ht="2.1" customHeigh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spans="1:13" ht="2.1" customHeight="1" x14ac:dyDescent="0.25"/>
    <row r="64" spans="1:13" ht="15" customHeight="1" x14ac:dyDescent="0.25">
      <c r="A64" s="517" t="s">
        <v>26</v>
      </c>
      <c r="B64" s="518"/>
      <c r="C64" s="518"/>
      <c r="D64" s="518"/>
      <c r="E64" s="518"/>
      <c r="F64" s="518"/>
      <c r="G64" s="518"/>
      <c r="H64" s="518"/>
      <c r="I64" s="518"/>
      <c r="J64" s="518"/>
      <c r="K64" s="518"/>
      <c r="L64" s="519"/>
      <c r="M64" s="3"/>
    </row>
    <row r="65" spans="1:13" ht="15" customHeight="1" x14ac:dyDescent="0.25">
      <c r="A65" s="520"/>
      <c r="B65" s="521"/>
      <c r="C65" s="521"/>
      <c r="D65" s="521"/>
      <c r="E65" s="521"/>
      <c r="F65" s="521"/>
      <c r="G65" s="521"/>
      <c r="H65" s="521"/>
      <c r="I65" s="521"/>
      <c r="J65" s="521"/>
      <c r="K65" s="521"/>
      <c r="L65" s="522"/>
      <c r="M65" s="3"/>
    </row>
    <row r="66" spans="1:13" ht="15" customHeight="1" x14ac:dyDescent="0.25">
      <c r="A66" s="523"/>
      <c r="B66" s="524"/>
      <c r="C66" s="524"/>
      <c r="D66" s="524"/>
      <c r="E66" s="524"/>
      <c r="F66" s="524"/>
      <c r="G66" s="524"/>
      <c r="H66" s="524"/>
      <c r="I66" s="524"/>
      <c r="J66" s="524"/>
      <c r="K66" s="524"/>
      <c r="L66" s="525"/>
      <c r="M66" s="3"/>
    </row>
    <row r="67" spans="1:13" ht="14.65" customHeight="1" x14ac:dyDescent="0.25">
      <c r="B67" s="526">
        <f>J5+J15+J25+J36+J47+J59</f>
        <v>680583.4746144684</v>
      </c>
      <c r="C67" s="527"/>
      <c r="D67" s="527"/>
      <c r="E67" s="527"/>
      <c r="F67" s="527"/>
      <c r="G67" s="527"/>
      <c r="H67" s="527"/>
      <c r="I67" s="527"/>
      <c r="J67" s="527"/>
      <c r="K67" s="528"/>
      <c r="L67" s="49"/>
      <c r="M67" s="49"/>
    </row>
    <row r="68" spans="1:13" ht="14.65" customHeight="1" x14ac:dyDescent="0.25">
      <c r="B68" s="529"/>
      <c r="C68" s="530"/>
      <c r="D68" s="530"/>
      <c r="E68" s="530"/>
      <c r="F68" s="530"/>
      <c r="G68" s="530"/>
      <c r="H68" s="530"/>
      <c r="I68" s="530"/>
      <c r="J68" s="530"/>
      <c r="K68" s="531"/>
      <c r="L68" s="49"/>
      <c r="M68" s="49"/>
    </row>
    <row r="69" spans="1:13" ht="14.65" customHeight="1" x14ac:dyDescent="0.25">
      <c r="B69" s="529"/>
      <c r="C69" s="530"/>
      <c r="D69" s="530"/>
      <c r="E69" s="530"/>
      <c r="F69" s="530"/>
      <c r="G69" s="530"/>
      <c r="H69" s="530"/>
      <c r="I69" s="530"/>
      <c r="J69" s="530"/>
      <c r="K69" s="531"/>
      <c r="L69" s="49"/>
      <c r="M69" s="49"/>
    </row>
    <row r="70" spans="1:13" ht="14.65" customHeight="1" x14ac:dyDescent="0.25">
      <c r="B70" s="532"/>
      <c r="C70" s="533"/>
      <c r="D70" s="533"/>
      <c r="E70" s="533"/>
      <c r="F70" s="533"/>
      <c r="G70" s="533"/>
      <c r="H70" s="533"/>
      <c r="I70" s="533"/>
      <c r="J70" s="533"/>
      <c r="K70" s="534"/>
      <c r="L70" s="49"/>
      <c r="M70" s="49"/>
    </row>
  </sheetData>
  <mergeCells count="92">
    <mergeCell ref="J23:L23"/>
    <mergeCell ref="A23:I23"/>
    <mergeCell ref="J57:L57"/>
    <mergeCell ref="A50:D50"/>
    <mergeCell ref="G50:J50"/>
    <mergeCell ref="E50:F50"/>
    <mergeCell ref="K50:L50"/>
    <mergeCell ref="A51:L51"/>
    <mergeCell ref="I52:J52"/>
    <mergeCell ref="G52:H52"/>
    <mergeCell ref="E52:F52"/>
    <mergeCell ref="C52:D52"/>
    <mergeCell ref="A52:B52"/>
    <mergeCell ref="K53:L53"/>
    <mergeCell ref="K52:L52"/>
    <mergeCell ref="A29:L29"/>
    <mergeCell ref="J32:L32"/>
    <mergeCell ref="J31:L31"/>
    <mergeCell ref="J30:L30"/>
    <mergeCell ref="A36:I36"/>
    <mergeCell ref="J36:L36"/>
    <mergeCell ref="J35:L35"/>
    <mergeCell ref="A33:I33"/>
    <mergeCell ref="J33:L33"/>
    <mergeCell ref="A30:I30"/>
    <mergeCell ref="A31:I31"/>
    <mergeCell ref="A32:I32"/>
    <mergeCell ref="A34:I34"/>
    <mergeCell ref="J34:L34"/>
    <mergeCell ref="A35:I35"/>
    <mergeCell ref="A14:I14"/>
    <mergeCell ref="J14:L14"/>
    <mergeCell ref="J5:L5"/>
    <mergeCell ref="A11:L11"/>
    <mergeCell ref="A12:I12"/>
    <mergeCell ref="J12:L12"/>
    <mergeCell ref="A13:I13"/>
    <mergeCell ref="J13:L13"/>
    <mergeCell ref="A7:L7"/>
    <mergeCell ref="A8:L8"/>
    <mergeCell ref="A1:L1"/>
    <mergeCell ref="A2:I2"/>
    <mergeCell ref="A3:I3"/>
    <mergeCell ref="A4:I4"/>
    <mergeCell ref="A5:I5"/>
    <mergeCell ref="J4:L4"/>
    <mergeCell ref="J3:L3"/>
    <mergeCell ref="J2:L2"/>
    <mergeCell ref="A22:I22"/>
    <mergeCell ref="J22:L22"/>
    <mergeCell ref="A15:I15"/>
    <mergeCell ref="J15:L15"/>
    <mergeCell ref="A20:L20"/>
    <mergeCell ref="A21:I21"/>
    <mergeCell ref="J21:L21"/>
    <mergeCell ref="A17:L17"/>
    <mergeCell ref="A24:I24"/>
    <mergeCell ref="J24:L24"/>
    <mergeCell ref="A25:I25"/>
    <mergeCell ref="J25:L25"/>
    <mergeCell ref="A27:L27"/>
    <mergeCell ref="A38:L38"/>
    <mergeCell ref="A39:L39"/>
    <mergeCell ref="K49:L49"/>
    <mergeCell ref="E49:F49"/>
    <mergeCell ref="A49:D49"/>
    <mergeCell ref="G49:J49"/>
    <mergeCell ref="A45:I45"/>
    <mergeCell ref="J45:L45"/>
    <mergeCell ref="A43:L43"/>
    <mergeCell ref="A44:I44"/>
    <mergeCell ref="J44:L44"/>
    <mergeCell ref="A47:I47"/>
    <mergeCell ref="J47:L47"/>
    <mergeCell ref="A46:I46"/>
    <mergeCell ref="J46:L46"/>
    <mergeCell ref="A61:L61"/>
    <mergeCell ref="A64:L66"/>
    <mergeCell ref="B67:K70"/>
    <mergeCell ref="A53:B53"/>
    <mergeCell ref="C53:D53"/>
    <mergeCell ref="E53:F53"/>
    <mergeCell ref="G53:H53"/>
    <mergeCell ref="I53:J53"/>
    <mergeCell ref="A58:I58"/>
    <mergeCell ref="J58:L58"/>
    <mergeCell ref="A59:I59"/>
    <mergeCell ref="J59:L59"/>
    <mergeCell ref="A55:L55"/>
    <mergeCell ref="A56:I56"/>
    <mergeCell ref="J56:L56"/>
    <mergeCell ref="A57:I57"/>
  </mergeCells>
  <phoneticPr fontId="51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53:L5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78"/>
  <sheetViews>
    <sheetView tabSelected="1" topLeftCell="A100" workbookViewId="0">
      <selection activeCell="O107" sqref="O107"/>
    </sheetView>
  </sheetViews>
  <sheetFormatPr defaultRowHeight="15" x14ac:dyDescent="0.25"/>
  <cols>
    <col min="1" max="9" width="6.5703125" customWidth="1"/>
    <col min="10" max="12" width="10.7109375" customWidth="1"/>
    <col min="13" max="13" width="5.5703125" customWidth="1"/>
  </cols>
  <sheetData>
    <row r="1" spans="1:32" ht="20.25" x14ac:dyDescent="0.3">
      <c r="A1" s="663" t="s">
        <v>64</v>
      </c>
      <c r="B1" s="663"/>
      <c r="C1" s="663"/>
      <c r="D1" s="663"/>
      <c r="E1" s="663"/>
    </row>
    <row r="2" spans="1:32" ht="17.100000000000001" customHeight="1" x14ac:dyDescent="0.3">
      <c r="A2" s="545" t="s">
        <v>165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7"/>
      <c r="N2" s="691" t="s">
        <v>166</v>
      </c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3"/>
    </row>
    <row r="3" spans="1:32" ht="14.1" customHeight="1" x14ac:dyDescent="0.25">
      <c r="A3" s="658" t="s">
        <v>25</v>
      </c>
      <c r="B3" s="659"/>
      <c r="C3" s="659"/>
      <c r="D3" s="659"/>
      <c r="E3" s="659"/>
      <c r="F3" s="659"/>
      <c r="G3" s="659"/>
      <c r="H3" s="659"/>
      <c r="I3" s="659"/>
      <c r="J3" s="584">
        <f>'CUSTO VARIÁVEL'!J46</f>
        <v>739263.63636363635</v>
      </c>
      <c r="K3" s="584"/>
      <c r="L3" s="585"/>
      <c r="N3" s="694"/>
      <c r="O3" s="695"/>
      <c r="P3" s="695"/>
      <c r="Q3" s="695"/>
      <c r="R3" s="695"/>
      <c r="S3" s="695"/>
      <c r="T3" s="695"/>
      <c r="U3" s="695"/>
      <c r="V3" s="695"/>
      <c r="W3" s="695"/>
      <c r="X3" s="695"/>
      <c r="Y3" s="695"/>
      <c r="Z3" s="695"/>
      <c r="AA3" s="695"/>
      <c r="AB3" s="695"/>
      <c r="AC3" s="695"/>
      <c r="AD3" s="695"/>
      <c r="AE3" s="695"/>
      <c r="AF3" s="696"/>
    </row>
    <row r="4" spans="1:32" ht="14.1" customHeight="1" x14ac:dyDescent="0.25">
      <c r="A4" s="608" t="s">
        <v>8</v>
      </c>
      <c r="B4" s="609"/>
      <c r="C4" s="609"/>
      <c r="D4" s="609"/>
      <c r="E4" s="609"/>
      <c r="F4" s="609"/>
      <c r="G4" s="609"/>
      <c r="H4" s="609"/>
      <c r="I4" s="609"/>
      <c r="J4" s="582">
        <f>'CUSTO VARIÁVEL'!J30</f>
        <v>2460.77</v>
      </c>
      <c r="K4" s="580"/>
      <c r="L4" s="581"/>
      <c r="N4" s="697" t="s">
        <v>167</v>
      </c>
      <c r="O4" s="697"/>
      <c r="P4" s="697" t="s">
        <v>23</v>
      </c>
      <c r="Q4" s="697"/>
      <c r="R4" s="697"/>
      <c r="S4" s="697"/>
      <c r="T4" s="697"/>
    </row>
    <row r="5" spans="1:32" ht="14.1" customHeight="1" x14ac:dyDescent="0.25">
      <c r="A5" s="608" t="s">
        <v>10</v>
      </c>
      <c r="B5" s="609"/>
      <c r="C5" s="609"/>
      <c r="D5" s="609"/>
      <c r="E5" s="609"/>
      <c r="F5" s="609"/>
      <c r="G5" s="609"/>
      <c r="H5" s="609"/>
      <c r="I5" s="609"/>
      <c r="J5" s="580">
        <v>6</v>
      </c>
      <c r="K5" s="580"/>
      <c r="L5" s="581"/>
      <c r="N5" s="698" t="s">
        <v>70</v>
      </c>
      <c r="O5" s="699"/>
      <c r="P5" s="700">
        <v>0.2</v>
      </c>
      <c r="Q5" s="700"/>
      <c r="R5" s="700"/>
      <c r="S5" s="700"/>
      <c r="T5" s="701"/>
    </row>
    <row r="6" spans="1:32" ht="14.1" customHeight="1" x14ac:dyDescent="0.25">
      <c r="A6" s="608" t="s">
        <v>168</v>
      </c>
      <c r="B6" s="609"/>
      <c r="C6" s="609"/>
      <c r="D6" s="609"/>
      <c r="E6" s="609"/>
      <c r="F6" s="609"/>
      <c r="G6" s="609"/>
      <c r="H6" s="609"/>
      <c r="I6" s="609"/>
      <c r="J6" s="582">
        <f>J3-(J4*J5)</f>
        <v>724499.01636363636</v>
      </c>
      <c r="K6" s="582"/>
      <c r="L6" s="583"/>
      <c r="N6" s="633" t="s">
        <v>71</v>
      </c>
      <c r="O6" s="634"/>
      <c r="P6" s="637">
        <v>0.17499999999999999</v>
      </c>
      <c r="Q6" s="637"/>
      <c r="R6" s="637"/>
      <c r="S6" s="637"/>
      <c r="T6" s="638"/>
    </row>
    <row r="7" spans="1:32" ht="14.1" customHeight="1" x14ac:dyDescent="0.25">
      <c r="A7" s="608" t="s">
        <v>169</v>
      </c>
      <c r="B7" s="609"/>
      <c r="C7" s="609"/>
      <c r="D7" s="609"/>
      <c r="E7" s="609"/>
      <c r="F7" s="609"/>
      <c r="G7" s="609"/>
      <c r="H7" s="609"/>
      <c r="I7" s="609"/>
      <c r="J7" s="654">
        <v>0</v>
      </c>
      <c r="K7" s="654"/>
      <c r="L7" s="655"/>
      <c r="N7" s="633" t="s">
        <v>72</v>
      </c>
      <c r="O7" s="634"/>
      <c r="P7" s="637">
        <v>0.15</v>
      </c>
      <c r="Q7" s="637"/>
      <c r="R7" s="637"/>
      <c r="S7" s="637"/>
      <c r="T7" s="638"/>
    </row>
    <row r="8" spans="1:32" ht="14.1" customHeight="1" x14ac:dyDescent="0.25">
      <c r="A8" s="608" t="s">
        <v>170</v>
      </c>
      <c r="B8" s="609"/>
      <c r="C8" s="609"/>
      <c r="D8" s="609"/>
      <c r="E8" s="609"/>
      <c r="F8" s="609"/>
      <c r="G8" s="609"/>
      <c r="H8" s="609"/>
      <c r="I8" s="609"/>
      <c r="J8" s="706">
        <f>P6</f>
        <v>0.17499999999999999</v>
      </c>
      <c r="K8" s="706"/>
      <c r="L8" s="707"/>
      <c r="N8" s="633" t="s">
        <v>73</v>
      </c>
      <c r="O8" s="634"/>
      <c r="P8" s="637">
        <v>0.125</v>
      </c>
      <c r="Q8" s="637"/>
      <c r="R8" s="637"/>
      <c r="S8" s="637"/>
      <c r="T8" s="638"/>
    </row>
    <row r="9" spans="1:32" ht="14.1" customHeight="1" x14ac:dyDescent="0.25">
      <c r="A9" s="608" t="s">
        <v>249</v>
      </c>
      <c r="B9" s="609"/>
      <c r="C9" s="609"/>
      <c r="D9" s="609"/>
      <c r="E9" s="609"/>
      <c r="F9" s="609"/>
      <c r="G9" s="609"/>
      <c r="H9" s="609"/>
      <c r="I9" s="609"/>
      <c r="J9" s="654">
        <v>33</v>
      </c>
      <c r="K9" s="654"/>
      <c r="L9" s="655"/>
      <c r="N9" s="633" t="s">
        <v>74</v>
      </c>
      <c r="O9" s="634"/>
      <c r="P9" s="637">
        <v>0.1</v>
      </c>
      <c r="Q9" s="637"/>
      <c r="R9" s="637"/>
      <c r="S9" s="637"/>
      <c r="T9" s="638"/>
    </row>
    <row r="10" spans="1:32" ht="14.1" customHeight="1" x14ac:dyDescent="0.25">
      <c r="A10" s="608" t="s">
        <v>250</v>
      </c>
      <c r="B10" s="609"/>
      <c r="C10" s="609"/>
      <c r="D10" s="609"/>
      <c r="E10" s="609"/>
      <c r="F10" s="609"/>
      <c r="G10" s="609"/>
      <c r="H10" s="609"/>
      <c r="I10" s="609"/>
      <c r="J10" s="706">
        <f>P11</f>
        <v>0.05</v>
      </c>
      <c r="K10" s="706"/>
      <c r="L10" s="707"/>
      <c r="N10" s="633" t="s">
        <v>75</v>
      </c>
      <c r="O10" s="634"/>
      <c r="P10" s="637">
        <v>7.4999999999999997E-2</v>
      </c>
      <c r="Q10" s="637"/>
      <c r="R10" s="637"/>
      <c r="S10" s="637"/>
      <c r="T10" s="638"/>
    </row>
    <row r="11" spans="1:32" ht="14.1" customHeight="1" x14ac:dyDescent="0.25">
      <c r="A11" s="608" t="s">
        <v>198</v>
      </c>
      <c r="B11" s="609"/>
      <c r="C11" s="609"/>
      <c r="D11" s="609"/>
      <c r="E11" s="609"/>
      <c r="F11" s="609"/>
      <c r="G11" s="609"/>
      <c r="H11" s="609"/>
      <c r="I11" s="609"/>
      <c r="J11" s="708">
        <v>0</v>
      </c>
      <c r="K11" s="708"/>
      <c r="L11" s="709"/>
      <c r="N11" s="633" t="s">
        <v>76</v>
      </c>
      <c r="O11" s="634"/>
      <c r="P11" s="637">
        <v>0.05</v>
      </c>
      <c r="Q11" s="637"/>
      <c r="R11" s="637"/>
      <c r="S11" s="637"/>
      <c r="T11" s="638"/>
    </row>
    <row r="12" spans="1:32" ht="14.1" customHeight="1" x14ac:dyDescent="0.25">
      <c r="A12" s="608" t="s">
        <v>199</v>
      </c>
      <c r="B12" s="609"/>
      <c r="C12" s="609"/>
      <c r="D12" s="609"/>
      <c r="E12" s="609"/>
      <c r="F12" s="609"/>
      <c r="G12" s="609"/>
      <c r="H12" s="609"/>
      <c r="I12" s="609"/>
      <c r="J12" s="706">
        <f>P12</f>
        <v>2.5000000000000001E-2</v>
      </c>
      <c r="K12" s="706"/>
      <c r="L12" s="707"/>
      <c r="N12" s="633" t="s">
        <v>77</v>
      </c>
      <c r="O12" s="634"/>
      <c r="P12" s="637">
        <v>2.5000000000000001E-2</v>
      </c>
      <c r="Q12" s="637"/>
      <c r="R12" s="637"/>
      <c r="S12" s="637"/>
      <c r="T12" s="638"/>
    </row>
    <row r="13" spans="1:32" ht="14.1" customHeight="1" x14ac:dyDescent="0.25">
      <c r="A13" s="608" t="s">
        <v>352</v>
      </c>
      <c r="B13" s="609"/>
      <c r="C13" s="609"/>
      <c r="D13" s="609"/>
      <c r="E13" s="609"/>
      <c r="F13" s="609"/>
      <c r="G13" s="609"/>
      <c r="H13" s="609"/>
      <c r="I13" s="609"/>
      <c r="J13" s="610">
        <v>0</v>
      </c>
      <c r="K13" s="611"/>
      <c r="L13" s="612"/>
      <c r="N13" s="633" t="s">
        <v>78</v>
      </c>
      <c r="O13" s="634"/>
      <c r="P13" s="637">
        <v>0</v>
      </c>
      <c r="Q13" s="637"/>
      <c r="R13" s="637"/>
      <c r="S13" s="637"/>
      <c r="T13" s="638"/>
    </row>
    <row r="14" spans="1:32" ht="14.1" customHeight="1" x14ac:dyDescent="0.25">
      <c r="A14" s="608" t="s">
        <v>353</v>
      </c>
      <c r="B14" s="609"/>
      <c r="C14" s="609"/>
      <c r="D14" s="609"/>
      <c r="E14" s="609"/>
      <c r="F14" s="609"/>
      <c r="G14" s="609"/>
      <c r="H14" s="609"/>
      <c r="I14" s="609"/>
      <c r="J14" s="613">
        <f>P13</f>
        <v>0</v>
      </c>
      <c r="K14" s="614"/>
      <c r="L14" s="615"/>
      <c r="N14" s="635" t="s">
        <v>79</v>
      </c>
      <c r="O14" s="636"/>
      <c r="P14" s="639">
        <v>0</v>
      </c>
      <c r="Q14" s="639"/>
      <c r="R14" s="639"/>
      <c r="S14" s="639"/>
      <c r="T14" s="640"/>
    </row>
    <row r="15" spans="1:32" ht="14.1" customHeight="1" x14ac:dyDescent="0.25">
      <c r="A15" s="710" t="s">
        <v>359</v>
      </c>
      <c r="B15" s="711"/>
      <c r="C15" s="711"/>
      <c r="D15" s="711"/>
      <c r="E15" s="711"/>
      <c r="F15" s="711"/>
      <c r="G15" s="711"/>
      <c r="H15" s="711"/>
      <c r="I15" s="711"/>
      <c r="J15" s="654">
        <v>0</v>
      </c>
      <c r="K15" s="654"/>
      <c r="L15" s="655"/>
      <c r="N15" s="702"/>
      <c r="O15" s="702"/>
      <c r="P15" s="703"/>
      <c r="Q15" s="703"/>
      <c r="R15" s="703"/>
      <c r="S15" s="703"/>
      <c r="T15" s="703"/>
    </row>
    <row r="16" spans="1:32" ht="14.1" customHeight="1" x14ac:dyDescent="0.25">
      <c r="A16" s="660" t="s">
        <v>360</v>
      </c>
      <c r="B16" s="661"/>
      <c r="C16" s="661"/>
      <c r="D16" s="661"/>
      <c r="E16" s="661"/>
      <c r="F16" s="661"/>
      <c r="G16" s="661"/>
      <c r="H16" s="661"/>
      <c r="I16" s="661"/>
      <c r="J16" s="712">
        <f>P14</f>
        <v>0</v>
      </c>
      <c r="K16" s="712"/>
      <c r="L16" s="713"/>
      <c r="N16" s="704"/>
      <c r="O16" s="704"/>
      <c r="P16" s="705"/>
      <c r="Q16" s="705"/>
      <c r="R16" s="705"/>
      <c r="S16" s="705"/>
      <c r="T16" s="705"/>
    </row>
    <row r="17" spans="1:16" ht="17.100000000000001" customHeight="1" x14ac:dyDescent="0.25">
      <c r="A17" s="543" t="s">
        <v>28</v>
      </c>
      <c r="B17" s="543"/>
      <c r="C17" s="543"/>
      <c r="D17" s="543"/>
      <c r="E17" s="543"/>
      <c r="F17" s="543"/>
      <c r="G17" s="543"/>
      <c r="H17" s="543"/>
      <c r="I17" s="543"/>
      <c r="J17" s="544">
        <f>((J8*J6*J7)+(J10*J6*J9)+(J12*J6*J11)+(J14*J6*J13)+(J16*J6*J15))/12</f>
        <v>99618.614749999993</v>
      </c>
      <c r="K17" s="544"/>
      <c r="L17" s="544"/>
      <c r="P17" s="141"/>
    </row>
    <row r="18" spans="1:16" ht="2.1" customHeight="1" x14ac:dyDescent="0.25"/>
    <row r="19" spans="1:16" ht="33.950000000000003" customHeight="1" x14ac:dyDescent="0.25">
      <c r="A19" s="644" t="s">
        <v>27</v>
      </c>
      <c r="B19" s="645"/>
      <c r="C19" s="645"/>
      <c r="D19" s="645"/>
      <c r="E19" s="645"/>
      <c r="F19" s="645"/>
      <c r="G19" s="645"/>
      <c r="H19" s="645"/>
      <c r="I19" s="645"/>
      <c r="J19" s="645"/>
      <c r="K19" s="645"/>
      <c r="L19" s="646"/>
    </row>
    <row r="20" spans="1:16" ht="14.1" customHeight="1" x14ac:dyDescent="0.25">
      <c r="A20" s="648" t="s">
        <v>30</v>
      </c>
      <c r="B20" s="649"/>
      <c r="C20" s="649"/>
      <c r="D20" s="649"/>
      <c r="E20" s="649"/>
      <c r="F20" s="649"/>
      <c r="G20" s="649"/>
      <c r="H20" s="649"/>
      <c r="I20" s="650"/>
      <c r="J20" s="651">
        <v>0</v>
      </c>
      <c r="K20" s="652"/>
      <c r="L20" s="653"/>
    </row>
    <row r="21" spans="1:16" ht="14.1" customHeight="1" x14ac:dyDescent="0.25">
      <c r="A21" s="616" t="s">
        <v>29</v>
      </c>
      <c r="B21" s="617"/>
      <c r="C21" s="617"/>
      <c r="D21" s="617"/>
      <c r="E21" s="617"/>
      <c r="F21" s="617"/>
      <c r="G21" s="617"/>
      <c r="H21" s="617"/>
      <c r="I21" s="618"/>
      <c r="J21" s="610">
        <v>25</v>
      </c>
      <c r="K21" s="611"/>
      <c r="L21" s="612"/>
    </row>
    <row r="22" spans="1:16" ht="25.15" customHeight="1" x14ac:dyDescent="0.25">
      <c r="A22" s="591" t="s">
        <v>31</v>
      </c>
      <c r="B22" s="592"/>
      <c r="C22" s="592"/>
      <c r="D22" s="592"/>
      <c r="E22" s="592"/>
      <c r="F22" s="592"/>
      <c r="G22" s="592"/>
      <c r="H22" s="592"/>
      <c r="I22" s="593"/>
      <c r="J22" s="588">
        <v>2.7400000000000001E-2</v>
      </c>
      <c r="K22" s="589"/>
      <c r="L22" s="590"/>
    </row>
    <row r="23" spans="1:16" ht="25.15" customHeight="1" x14ac:dyDescent="0.25">
      <c r="A23" s="591" t="s">
        <v>33</v>
      </c>
      <c r="B23" s="592"/>
      <c r="C23" s="592"/>
      <c r="D23" s="592"/>
      <c r="E23" s="592"/>
      <c r="F23" s="592"/>
      <c r="G23" s="592"/>
      <c r="H23" s="592"/>
      <c r="I23" s="593"/>
      <c r="J23" s="647">
        <v>10</v>
      </c>
      <c r="K23" s="541"/>
      <c r="L23" s="542"/>
    </row>
    <row r="24" spans="1:16" ht="14.1" customHeight="1" x14ac:dyDescent="0.25">
      <c r="A24" s="616" t="s">
        <v>13</v>
      </c>
      <c r="B24" s="617"/>
      <c r="C24" s="617"/>
      <c r="D24" s="617"/>
      <c r="E24" s="617"/>
      <c r="F24" s="617"/>
      <c r="G24" s="617"/>
      <c r="H24" s="617"/>
      <c r="I24" s="618"/>
      <c r="J24" s="610">
        <f>'CUSTO VARIÁVEL'!J45</f>
        <v>33</v>
      </c>
      <c r="K24" s="611"/>
      <c r="L24" s="612"/>
    </row>
    <row r="25" spans="1:16" ht="14.1" customHeight="1" x14ac:dyDescent="0.25">
      <c r="A25" s="660" t="s">
        <v>25</v>
      </c>
      <c r="B25" s="661"/>
      <c r="C25" s="661"/>
      <c r="D25" s="661"/>
      <c r="E25" s="661"/>
      <c r="F25" s="661"/>
      <c r="G25" s="661"/>
      <c r="H25" s="661"/>
      <c r="I25" s="661"/>
      <c r="J25" s="565">
        <f>'CUSTO VARIÁVEL'!J46</f>
        <v>739263.63636363635</v>
      </c>
      <c r="K25" s="566"/>
      <c r="L25" s="567"/>
    </row>
    <row r="26" spans="1:16" ht="17.100000000000001" customHeight="1" x14ac:dyDescent="0.25">
      <c r="A26" s="543" t="s">
        <v>28</v>
      </c>
      <c r="B26" s="543"/>
      <c r="C26" s="543"/>
      <c r="D26" s="543"/>
      <c r="E26" s="543"/>
      <c r="F26" s="543"/>
      <c r="G26" s="543"/>
      <c r="H26" s="543"/>
      <c r="I26" s="543"/>
      <c r="J26" s="544">
        <f>((J20*1/J21+J22*1/J23)*J24*J25)/12</f>
        <v>5570.3515000000007</v>
      </c>
      <c r="K26" s="544"/>
      <c r="L26" s="544"/>
    </row>
    <row r="27" spans="1:16" ht="2.1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6"/>
      <c r="K27" s="6"/>
      <c r="L27" s="6"/>
    </row>
    <row r="28" spans="1:16" ht="33.950000000000003" customHeight="1" x14ac:dyDescent="0.25">
      <c r="A28" s="514" t="s">
        <v>32</v>
      </c>
      <c r="B28" s="515"/>
      <c r="C28" s="515"/>
      <c r="D28" s="515"/>
      <c r="E28" s="515"/>
      <c r="F28" s="515"/>
      <c r="G28" s="515"/>
      <c r="H28" s="515"/>
      <c r="I28" s="515"/>
      <c r="J28" s="515"/>
      <c r="K28" s="515"/>
      <c r="L28" s="516"/>
    </row>
    <row r="29" spans="1:16" ht="39.950000000000003" customHeight="1" x14ac:dyDescent="0.25">
      <c r="A29" s="514" t="s">
        <v>111</v>
      </c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6"/>
    </row>
    <row r="30" spans="1:16" ht="2.1" customHeight="1" x14ac:dyDescent="0.25"/>
    <row r="31" spans="1:16" ht="2.1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6"/>
      <c r="K31" s="6"/>
      <c r="L31" s="6"/>
    </row>
    <row r="32" spans="1:16" ht="2.1" customHeight="1" x14ac:dyDescent="0.25"/>
    <row r="33" spans="1:12" ht="17.100000000000001" customHeight="1" x14ac:dyDescent="0.25">
      <c r="A33" s="644" t="s">
        <v>35</v>
      </c>
      <c r="B33" s="645"/>
      <c r="C33" s="645"/>
      <c r="D33" s="645"/>
      <c r="E33" s="645"/>
      <c r="F33" s="645"/>
      <c r="G33" s="645"/>
      <c r="H33" s="645"/>
      <c r="I33" s="645"/>
      <c r="J33" s="645"/>
      <c r="K33" s="645"/>
      <c r="L33" s="646"/>
    </row>
    <row r="34" spans="1:12" ht="17.100000000000001" customHeight="1" x14ac:dyDescent="0.25">
      <c r="A34" s="685" t="s">
        <v>42</v>
      </c>
      <c r="B34" s="686"/>
      <c r="C34" s="686"/>
      <c r="D34" s="686"/>
      <c r="E34" s="686"/>
      <c r="F34" s="686"/>
      <c r="G34" s="686"/>
      <c r="H34" s="686"/>
      <c r="I34" s="686"/>
      <c r="J34" s="686"/>
      <c r="K34" s="686"/>
      <c r="L34" s="687"/>
    </row>
    <row r="35" spans="1:12" ht="14.1" customHeight="1" x14ac:dyDescent="0.25">
      <c r="A35" s="717" t="s">
        <v>36</v>
      </c>
      <c r="B35" s="718"/>
      <c r="C35" s="718"/>
      <c r="D35" s="718"/>
      <c r="E35" s="718"/>
      <c r="F35" s="718"/>
      <c r="G35" s="718"/>
      <c r="H35" s="718"/>
      <c r="I35" s="719"/>
      <c r="J35" s="720">
        <v>1</v>
      </c>
      <c r="K35" s="720"/>
      <c r="L35" s="721"/>
    </row>
    <row r="36" spans="1:12" ht="14.1" customHeight="1" x14ac:dyDescent="0.25">
      <c r="A36" s="591" t="s">
        <v>37</v>
      </c>
      <c r="B36" s="592"/>
      <c r="C36" s="592"/>
      <c r="D36" s="592"/>
      <c r="E36" s="592"/>
      <c r="F36" s="592"/>
      <c r="G36" s="592"/>
      <c r="H36" s="592"/>
      <c r="I36" s="593"/>
      <c r="J36" s="540">
        <v>250000</v>
      </c>
      <c r="K36" s="619"/>
      <c r="L36" s="620"/>
    </row>
    <row r="37" spans="1:12" ht="14.1" customHeight="1" x14ac:dyDescent="0.25">
      <c r="A37" s="591" t="s">
        <v>39</v>
      </c>
      <c r="B37" s="592"/>
      <c r="C37" s="592"/>
      <c r="D37" s="592"/>
      <c r="E37" s="592"/>
      <c r="F37" s="592"/>
      <c r="G37" s="592"/>
      <c r="H37" s="592"/>
      <c r="I37" s="593"/>
      <c r="J37" s="610">
        <v>15</v>
      </c>
      <c r="K37" s="611"/>
      <c r="L37" s="612"/>
    </row>
    <row r="38" spans="1:12" ht="14.1" customHeight="1" x14ac:dyDescent="0.25">
      <c r="A38" s="608" t="s">
        <v>38</v>
      </c>
      <c r="B38" s="609"/>
      <c r="C38" s="609"/>
      <c r="D38" s="609"/>
      <c r="E38" s="609"/>
      <c r="F38" s="609"/>
      <c r="G38" s="609"/>
      <c r="H38" s="609"/>
      <c r="I38" s="609"/>
      <c r="J38" s="656">
        <v>0.1</v>
      </c>
      <c r="K38" s="656"/>
      <c r="L38" s="657"/>
    </row>
    <row r="39" spans="1:12" ht="14.1" customHeight="1" x14ac:dyDescent="0.25">
      <c r="A39" s="688" t="s">
        <v>40</v>
      </c>
      <c r="B39" s="689"/>
      <c r="C39" s="689"/>
      <c r="D39" s="689"/>
      <c r="E39" s="689"/>
      <c r="F39" s="689"/>
      <c r="G39" s="689"/>
      <c r="H39" s="689"/>
      <c r="I39" s="690"/>
      <c r="J39" s="714">
        <f>(J35*J36*1/J37*(1-J38))/12</f>
        <v>1250.0000000000002</v>
      </c>
      <c r="K39" s="715"/>
      <c r="L39" s="716"/>
    </row>
    <row r="40" spans="1:12" ht="17.100000000000001" customHeight="1" x14ac:dyDescent="0.25">
      <c r="A40" s="682" t="s">
        <v>43</v>
      </c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4"/>
    </row>
    <row r="41" spans="1:12" ht="14.1" customHeight="1" x14ac:dyDescent="0.25">
      <c r="A41" s="624" t="s">
        <v>36</v>
      </c>
      <c r="B41" s="625"/>
      <c r="C41" s="625"/>
      <c r="D41" s="625"/>
      <c r="E41" s="625"/>
      <c r="F41" s="625"/>
      <c r="G41" s="625"/>
      <c r="H41" s="625"/>
      <c r="I41" s="626"/>
      <c r="J41" s="679">
        <v>1</v>
      </c>
      <c r="K41" s="680"/>
      <c r="L41" s="681"/>
    </row>
    <row r="42" spans="1:12" ht="14.1" customHeight="1" x14ac:dyDescent="0.25">
      <c r="A42" s="616" t="s">
        <v>37</v>
      </c>
      <c r="B42" s="617"/>
      <c r="C42" s="617"/>
      <c r="D42" s="617"/>
      <c r="E42" s="617"/>
      <c r="F42" s="617"/>
      <c r="G42" s="617"/>
      <c r="H42" s="617"/>
      <c r="I42" s="618"/>
      <c r="J42" s="540">
        <v>85000</v>
      </c>
      <c r="K42" s="619"/>
      <c r="L42" s="620"/>
    </row>
    <row r="43" spans="1:12" ht="14.1" customHeight="1" x14ac:dyDescent="0.25">
      <c r="A43" s="616" t="s">
        <v>39</v>
      </c>
      <c r="B43" s="617"/>
      <c r="C43" s="617"/>
      <c r="D43" s="617"/>
      <c r="E43" s="617"/>
      <c r="F43" s="617"/>
      <c r="G43" s="617"/>
      <c r="H43" s="617"/>
      <c r="I43" s="618"/>
      <c r="J43" s="610">
        <v>5</v>
      </c>
      <c r="K43" s="611"/>
      <c r="L43" s="612"/>
    </row>
    <row r="44" spans="1:12" ht="14.1" customHeight="1" x14ac:dyDescent="0.25">
      <c r="A44" s="608" t="s">
        <v>38</v>
      </c>
      <c r="B44" s="609"/>
      <c r="C44" s="609"/>
      <c r="D44" s="609"/>
      <c r="E44" s="609"/>
      <c r="F44" s="609"/>
      <c r="G44" s="609"/>
      <c r="H44" s="609"/>
      <c r="I44" s="609"/>
      <c r="J44" s="656">
        <v>0.2</v>
      </c>
      <c r="K44" s="656"/>
      <c r="L44" s="657"/>
    </row>
    <row r="45" spans="1:12" ht="14.1" customHeight="1" x14ac:dyDescent="0.25">
      <c r="A45" s="688" t="s">
        <v>41</v>
      </c>
      <c r="B45" s="689"/>
      <c r="C45" s="689"/>
      <c r="D45" s="689"/>
      <c r="E45" s="689"/>
      <c r="F45" s="689"/>
      <c r="G45" s="689"/>
      <c r="H45" s="689"/>
      <c r="I45" s="690"/>
      <c r="J45" s="565">
        <f>(J41*J42*1/J43*(1-J44))/12</f>
        <v>1133.3333333333333</v>
      </c>
      <c r="K45" s="566"/>
      <c r="L45" s="567"/>
    </row>
    <row r="46" spans="1:12" ht="17.100000000000001" customHeight="1" x14ac:dyDescent="0.25">
      <c r="A46" s="543" t="s">
        <v>28</v>
      </c>
      <c r="B46" s="543"/>
      <c r="C46" s="543"/>
      <c r="D46" s="543"/>
      <c r="E46" s="543"/>
      <c r="F46" s="543"/>
      <c r="G46" s="543"/>
      <c r="H46" s="543"/>
      <c r="I46" s="543"/>
      <c r="J46" s="544">
        <f>J39+J45</f>
        <v>2383.3333333333335</v>
      </c>
      <c r="K46" s="544"/>
      <c r="L46" s="544"/>
    </row>
    <row r="47" spans="1:12" ht="2.1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6"/>
      <c r="K47" s="6"/>
      <c r="L47" s="6"/>
    </row>
    <row r="48" spans="1:12" ht="17.100000000000001" customHeight="1" x14ac:dyDescent="0.25">
      <c r="A48" s="514" t="s">
        <v>373</v>
      </c>
      <c r="B48" s="515"/>
      <c r="C48" s="515"/>
      <c r="D48" s="515"/>
      <c r="E48" s="515"/>
      <c r="F48" s="515"/>
      <c r="G48" s="515"/>
      <c r="H48" s="515"/>
      <c r="I48" s="515"/>
      <c r="J48" s="515"/>
      <c r="K48" s="515"/>
      <c r="L48" s="516"/>
    </row>
    <row r="49" spans="1:33" ht="17.100000000000001" customHeight="1" x14ac:dyDescent="0.25">
      <c r="A49" s="514" t="s">
        <v>374</v>
      </c>
      <c r="B49" s="515"/>
      <c r="C49" s="515"/>
      <c r="D49" s="515"/>
      <c r="E49" s="515"/>
      <c r="F49" s="515"/>
      <c r="G49" s="515"/>
      <c r="H49" s="515"/>
      <c r="I49" s="515"/>
      <c r="J49" s="515"/>
      <c r="K49" s="515"/>
      <c r="L49" s="516"/>
    </row>
    <row r="50" spans="1:33" ht="2.1" customHeight="1" x14ac:dyDescent="0.25"/>
    <row r="51" spans="1:33" ht="18" customHeight="1" x14ac:dyDescent="0.25">
      <c r="A51" s="644" t="s">
        <v>44</v>
      </c>
      <c r="B51" s="645"/>
      <c r="C51" s="645"/>
      <c r="D51" s="645"/>
      <c r="E51" s="645"/>
      <c r="F51" s="645"/>
      <c r="G51" s="645"/>
      <c r="H51" s="645"/>
      <c r="I51" s="645"/>
      <c r="J51" s="645"/>
      <c r="K51" s="645"/>
      <c r="L51" s="646"/>
    </row>
    <row r="52" spans="1:33" ht="17.100000000000001" customHeight="1" x14ac:dyDescent="0.25">
      <c r="A52" s="717" t="s">
        <v>45</v>
      </c>
      <c r="B52" s="718"/>
      <c r="C52" s="718"/>
      <c r="D52" s="718"/>
      <c r="E52" s="718"/>
      <c r="F52" s="718"/>
      <c r="G52" s="718"/>
      <c r="H52" s="718"/>
      <c r="I52" s="719"/>
      <c r="J52" s="584">
        <v>0</v>
      </c>
      <c r="K52" s="584"/>
      <c r="L52" s="585"/>
    </row>
    <row r="53" spans="1:33" ht="17.100000000000001" customHeight="1" x14ac:dyDescent="0.25">
      <c r="A53" s="608" t="s">
        <v>46</v>
      </c>
      <c r="B53" s="609"/>
      <c r="C53" s="609"/>
      <c r="D53" s="609"/>
      <c r="E53" s="609"/>
      <c r="F53" s="609"/>
      <c r="G53" s="609"/>
      <c r="H53" s="609"/>
      <c r="I53" s="609"/>
      <c r="J53" s="654">
        <v>1</v>
      </c>
      <c r="K53" s="654"/>
      <c r="L53" s="655"/>
      <c r="N53" s="641" t="s">
        <v>188</v>
      </c>
      <c r="O53" s="642"/>
      <c r="P53" s="642"/>
      <c r="Q53" s="642"/>
      <c r="R53" s="642"/>
      <c r="S53" s="642"/>
      <c r="T53" s="642"/>
      <c r="U53" s="642"/>
      <c r="V53" s="642"/>
      <c r="W53" s="642"/>
      <c r="X53" s="643"/>
    </row>
    <row r="54" spans="1:33" ht="18" customHeight="1" x14ac:dyDescent="0.25">
      <c r="A54" s="543" t="s">
        <v>28</v>
      </c>
      <c r="B54" s="543"/>
      <c r="C54" s="543"/>
      <c r="D54" s="543"/>
      <c r="E54" s="543"/>
      <c r="F54" s="543"/>
      <c r="G54" s="543"/>
      <c r="H54" s="543"/>
      <c r="I54" s="543"/>
      <c r="J54" s="544">
        <v>0</v>
      </c>
      <c r="K54" s="544"/>
      <c r="L54" s="544"/>
    </row>
    <row r="55" spans="1:33" ht="18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6"/>
    </row>
    <row r="56" spans="1:33" ht="18" customHeight="1" x14ac:dyDescent="0.3">
      <c r="A56" s="663" t="s">
        <v>65</v>
      </c>
      <c r="B56" s="663"/>
      <c r="C56" s="663"/>
      <c r="D56" s="663"/>
      <c r="E56" s="663"/>
    </row>
    <row r="57" spans="1:33" ht="18" customHeight="1" x14ac:dyDescent="0.3">
      <c r="A57" s="545" t="s">
        <v>171</v>
      </c>
      <c r="B57" s="546"/>
      <c r="C57" s="546"/>
      <c r="D57" s="546"/>
      <c r="E57" s="546"/>
      <c r="F57" s="546"/>
      <c r="G57" s="546"/>
      <c r="H57" s="546"/>
      <c r="I57" s="546"/>
      <c r="J57" s="546"/>
      <c r="K57" s="546"/>
      <c r="L57" s="547"/>
      <c r="N57" s="727" t="s">
        <v>508</v>
      </c>
      <c r="O57" s="728"/>
      <c r="P57" s="728"/>
      <c r="Q57" s="728"/>
      <c r="R57" s="728"/>
      <c r="S57" s="728"/>
      <c r="T57" s="728"/>
      <c r="U57" s="728"/>
      <c r="V57" s="728"/>
      <c r="W57" s="728"/>
      <c r="X57" s="728"/>
      <c r="Y57" s="728"/>
      <c r="Z57" s="728"/>
      <c r="AA57" s="728"/>
      <c r="AB57" s="728"/>
      <c r="AC57" s="728"/>
      <c r="AD57" s="728"/>
      <c r="AE57" s="728"/>
      <c r="AF57" s="728"/>
      <c r="AG57" s="729"/>
    </row>
    <row r="58" spans="1:33" ht="18" customHeight="1" x14ac:dyDescent="0.25">
      <c r="A58" s="658" t="s">
        <v>50</v>
      </c>
      <c r="B58" s="659"/>
      <c r="C58" s="659"/>
      <c r="D58" s="659"/>
      <c r="E58" s="659"/>
      <c r="F58" s="659"/>
      <c r="G58" s="659"/>
      <c r="H58" s="659"/>
      <c r="I58" s="659"/>
      <c r="J58" s="576">
        <v>0.1052</v>
      </c>
      <c r="K58" s="576"/>
      <c r="L58" s="577"/>
      <c r="N58" s="730" t="s">
        <v>173</v>
      </c>
      <c r="O58" s="731"/>
      <c r="P58" s="731"/>
      <c r="Q58" s="731"/>
      <c r="R58" s="731"/>
      <c r="S58" s="731"/>
      <c r="T58" s="731"/>
      <c r="U58" s="731"/>
      <c r="V58" s="731"/>
      <c r="W58" s="731"/>
      <c r="X58" s="731"/>
      <c r="Y58" s="731"/>
      <c r="Z58" s="731"/>
      <c r="AA58" s="731"/>
      <c r="AB58" s="731"/>
      <c r="AC58" s="731"/>
      <c r="AD58" s="731"/>
      <c r="AE58" s="731"/>
      <c r="AF58" s="731"/>
      <c r="AG58" s="732"/>
    </row>
    <row r="59" spans="1:33" ht="18" customHeight="1" x14ac:dyDescent="0.25">
      <c r="A59" s="608" t="s">
        <v>25</v>
      </c>
      <c r="B59" s="609"/>
      <c r="C59" s="609"/>
      <c r="D59" s="609"/>
      <c r="E59" s="609"/>
      <c r="F59" s="609"/>
      <c r="G59" s="609"/>
      <c r="H59" s="609"/>
      <c r="I59" s="609"/>
      <c r="J59" s="582">
        <f>'CUSTO VARIÁVEL'!J46</f>
        <v>739263.63636363635</v>
      </c>
      <c r="K59" s="582"/>
      <c r="L59" s="583"/>
      <c r="N59" s="733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5"/>
    </row>
    <row r="60" spans="1:33" ht="18" customHeight="1" x14ac:dyDescent="0.25">
      <c r="A60" s="608" t="s">
        <v>169</v>
      </c>
      <c r="B60" s="609"/>
      <c r="C60" s="609"/>
      <c r="D60" s="609"/>
      <c r="E60" s="609"/>
      <c r="F60" s="609"/>
      <c r="G60" s="609"/>
      <c r="H60" s="609"/>
      <c r="I60" s="609"/>
      <c r="J60" s="654">
        <v>0</v>
      </c>
      <c r="K60" s="654"/>
      <c r="L60" s="655"/>
      <c r="N60" s="493" t="s">
        <v>167</v>
      </c>
      <c r="O60" s="494"/>
      <c r="P60" s="493" t="s">
        <v>23</v>
      </c>
      <c r="Q60" s="736"/>
      <c r="R60" s="736"/>
      <c r="S60" s="736"/>
      <c r="T60" s="49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8" customHeight="1" x14ac:dyDescent="0.25">
      <c r="A61" s="608" t="s">
        <v>172</v>
      </c>
      <c r="B61" s="609"/>
      <c r="C61" s="609"/>
      <c r="D61" s="609"/>
      <c r="E61" s="609"/>
      <c r="F61" s="609"/>
      <c r="G61" s="609"/>
      <c r="H61" s="609"/>
      <c r="I61" s="609"/>
      <c r="J61" s="706">
        <f>P62</f>
        <v>0.8</v>
      </c>
      <c r="K61" s="706"/>
      <c r="L61" s="707"/>
      <c r="N61" s="737" t="s">
        <v>70</v>
      </c>
      <c r="O61" s="738"/>
      <c r="P61" s="739">
        <v>1</v>
      </c>
      <c r="Q61" s="740"/>
      <c r="R61" s="740"/>
      <c r="S61" s="740"/>
      <c r="T61" s="74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8" customHeight="1" x14ac:dyDescent="0.25">
      <c r="A62" s="608" t="s">
        <v>249</v>
      </c>
      <c r="B62" s="609"/>
      <c r="C62" s="609"/>
      <c r="D62" s="609"/>
      <c r="E62" s="609"/>
      <c r="F62" s="609"/>
      <c r="G62" s="609"/>
      <c r="H62" s="609"/>
      <c r="I62" s="609"/>
      <c r="J62" s="654">
        <v>33</v>
      </c>
      <c r="K62" s="654"/>
      <c r="L62" s="655"/>
      <c r="N62" s="722" t="s">
        <v>71</v>
      </c>
      <c r="O62" s="723"/>
      <c r="P62" s="724">
        <v>0.8</v>
      </c>
      <c r="Q62" s="725"/>
      <c r="R62" s="725"/>
      <c r="S62" s="725"/>
      <c r="T62" s="726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</row>
    <row r="63" spans="1:33" ht="18" customHeight="1" x14ac:dyDescent="0.25">
      <c r="A63" s="608" t="s">
        <v>251</v>
      </c>
      <c r="B63" s="609"/>
      <c r="C63" s="609"/>
      <c r="D63" s="609"/>
      <c r="E63" s="609"/>
      <c r="F63" s="609"/>
      <c r="G63" s="609"/>
      <c r="H63" s="609"/>
      <c r="I63" s="609"/>
      <c r="J63" s="706">
        <f>P67</f>
        <v>0.17499999999999999</v>
      </c>
      <c r="K63" s="706"/>
      <c r="L63" s="707"/>
      <c r="N63" s="722" t="s">
        <v>72</v>
      </c>
      <c r="O63" s="723"/>
      <c r="P63" s="724">
        <v>0.625</v>
      </c>
      <c r="Q63" s="725"/>
      <c r="R63" s="725"/>
      <c r="S63" s="725"/>
      <c r="T63" s="726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</row>
    <row r="64" spans="1:33" ht="18" customHeight="1" x14ac:dyDescent="0.25">
      <c r="A64" s="608" t="s">
        <v>198</v>
      </c>
      <c r="B64" s="609"/>
      <c r="C64" s="609"/>
      <c r="D64" s="609"/>
      <c r="E64" s="609"/>
      <c r="F64" s="609"/>
      <c r="G64" s="609"/>
      <c r="H64" s="609"/>
      <c r="I64" s="609"/>
      <c r="J64" s="708">
        <v>0</v>
      </c>
      <c r="K64" s="708"/>
      <c r="L64" s="709"/>
      <c r="N64" s="722" t="s">
        <v>73</v>
      </c>
      <c r="O64" s="723"/>
      <c r="P64" s="724">
        <v>0.47499999999999998</v>
      </c>
      <c r="Q64" s="725"/>
      <c r="R64" s="725"/>
      <c r="S64" s="725"/>
      <c r="T64" s="726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ht="18" customHeight="1" x14ac:dyDescent="0.25">
      <c r="A65" s="608" t="s">
        <v>200</v>
      </c>
      <c r="B65" s="609"/>
      <c r="C65" s="609"/>
      <c r="D65" s="609"/>
      <c r="E65" s="609"/>
      <c r="F65" s="609"/>
      <c r="G65" s="609"/>
      <c r="H65" s="609"/>
      <c r="I65" s="609"/>
      <c r="J65" s="706">
        <f>P68</f>
        <v>0.12</v>
      </c>
      <c r="K65" s="706"/>
      <c r="L65" s="707"/>
      <c r="N65" s="722" t="s">
        <v>74</v>
      </c>
      <c r="O65" s="723"/>
      <c r="P65" s="724">
        <v>0.35</v>
      </c>
      <c r="Q65" s="725"/>
      <c r="R65" s="725"/>
      <c r="S65" s="725"/>
      <c r="T65" s="726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</row>
    <row r="66" spans="1:33" ht="18" customHeight="1" x14ac:dyDescent="0.25">
      <c r="A66" s="608" t="s">
        <v>352</v>
      </c>
      <c r="B66" s="609"/>
      <c r="C66" s="609"/>
      <c r="D66" s="609"/>
      <c r="E66" s="609"/>
      <c r="F66" s="609"/>
      <c r="G66" s="609"/>
      <c r="H66" s="609"/>
      <c r="I66" s="609"/>
      <c r="J66" s="654">
        <v>0</v>
      </c>
      <c r="K66" s="654"/>
      <c r="L66" s="655"/>
      <c r="N66" s="722" t="s">
        <v>75</v>
      </c>
      <c r="O66" s="723"/>
      <c r="P66" s="724">
        <v>0.25</v>
      </c>
      <c r="Q66" s="725"/>
      <c r="R66" s="725"/>
      <c r="S66" s="725"/>
      <c r="T66" s="726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</row>
    <row r="67" spans="1:33" ht="20.100000000000001" customHeight="1" x14ac:dyDescent="0.25">
      <c r="A67" s="608" t="s">
        <v>354</v>
      </c>
      <c r="B67" s="609"/>
      <c r="C67" s="609"/>
      <c r="D67" s="609"/>
      <c r="E67" s="609"/>
      <c r="F67" s="609"/>
      <c r="G67" s="609"/>
      <c r="H67" s="609"/>
      <c r="I67" s="609"/>
      <c r="J67" s="706">
        <f>P70</f>
        <v>0</v>
      </c>
      <c r="K67" s="706"/>
      <c r="L67" s="707"/>
      <c r="N67" s="722" t="s">
        <v>76</v>
      </c>
      <c r="O67" s="723"/>
      <c r="P67" s="724">
        <v>0.17499999999999999</v>
      </c>
      <c r="Q67" s="725"/>
      <c r="R67" s="725"/>
      <c r="S67" s="725"/>
      <c r="T67" s="726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</row>
    <row r="68" spans="1:33" ht="20.100000000000001" customHeight="1" x14ac:dyDescent="0.25">
      <c r="A68" s="710" t="s">
        <v>359</v>
      </c>
      <c r="B68" s="711"/>
      <c r="C68" s="711"/>
      <c r="D68" s="711"/>
      <c r="E68" s="711"/>
      <c r="F68" s="711"/>
      <c r="G68" s="711"/>
      <c r="H68" s="711"/>
      <c r="I68" s="711"/>
      <c r="J68" s="654">
        <v>0</v>
      </c>
      <c r="K68" s="654"/>
      <c r="L68" s="655"/>
      <c r="N68" s="722" t="s">
        <v>77</v>
      </c>
      <c r="O68" s="723"/>
      <c r="P68" s="724">
        <v>0.12</v>
      </c>
      <c r="Q68" s="725"/>
      <c r="R68" s="725"/>
      <c r="S68" s="725"/>
      <c r="T68" s="726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ht="20.100000000000001" customHeight="1" x14ac:dyDescent="0.25">
      <c r="A69" s="660" t="s">
        <v>361</v>
      </c>
      <c r="B69" s="661"/>
      <c r="C69" s="661"/>
      <c r="D69" s="661"/>
      <c r="E69" s="661"/>
      <c r="F69" s="661"/>
      <c r="G69" s="661"/>
      <c r="H69" s="661"/>
      <c r="I69" s="661"/>
      <c r="J69" s="706">
        <f>P70</f>
        <v>0</v>
      </c>
      <c r="K69" s="706"/>
      <c r="L69" s="707"/>
      <c r="N69" s="722" t="s">
        <v>78</v>
      </c>
      <c r="O69" s="723"/>
      <c r="P69" s="724">
        <v>0.1</v>
      </c>
      <c r="Q69" s="725"/>
      <c r="R69" s="725"/>
      <c r="S69" s="725"/>
      <c r="T69" s="726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</row>
    <row r="70" spans="1:33" ht="18" customHeight="1" x14ac:dyDescent="0.25">
      <c r="A70" s="543" t="s">
        <v>47</v>
      </c>
      <c r="B70" s="543"/>
      <c r="C70" s="543"/>
      <c r="D70" s="543"/>
      <c r="E70" s="543"/>
      <c r="F70" s="543"/>
      <c r="G70" s="543"/>
      <c r="H70" s="543"/>
      <c r="I70" s="543"/>
      <c r="J70" s="544">
        <f>((J58*J59*J60*J61)+(J58*J59*J62*J63)+(J58*J59*J64*J65)+(J58*J59*J66*J67)+(J58*J59*J68*J69))/12</f>
        <v>37427.069750000002</v>
      </c>
      <c r="K70" s="544"/>
      <c r="L70" s="544"/>
      <c r="N70" s="635" t="s">
        <v>79</v>
      </c>
      <c r="O70" s="636"/>
      <c r="P70" s="639">
        <v>0</v>
      </c>
      <c r="Q70" s="639"/>
      <c r="R70" s="639"/>
      <c r="S70" s="639"/>
      <c r="T70" s="640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</row>
    <row r="71" spans="1:33" ht="2.1" customHeight="1" x14ac:dyDescent="0.25"/>
    <row r="72" spans="1:33" ht="40.15" customHeight="1" x14ac:dyDescent="0.25">
      <c r="A72" s="644" t="s">
        <v>49</v>
      </c>
      <c r="B72" s="645"/>
      <c r="C72" s="645"/>
      <c r="D72" s="645"/>
      <c r="E72" s="645"/>
      <c r="F72" s="645"/>
      <c r="G72" s="645"/>
      <c r="H72" s="645"/>
      <c r="I72" s="645"/>
      <c r="J72" s="645"/>
      <c r="K72" s="645"/>
      <c r="L72" s="646"/>
    </row>
    <row r="73" spans="1:33" ht="33.950000000000003" customHeight="1" x14ac:dyDescent="0.25">
      <c r="A73" s="717" t="s">
        <v>51</v>
      </c>
      <c r="B73" s="718"/>
      <c r="C73" s="718"/>
      <c r="D73" s="718"/>
      <c r="E73" s="718"/>
      <c r="F73" s="718"/>
      <c r="G73" s="718"/>
      <c r="H73" s="718"/>
      <c r="I73" s="719"/>
      <c r="J73" s="576">
        <f>A81+E81+I81</f>
        <v>1.37E-2</v>
      </c>
      <c r="K73" s="576"/>
      <c r="L73" s="577"/>
    </row>
    <row r="74" spans="1:33" ht="17.100000000000001" customHeight="1" x14ac:dyDescent="0.25">
      <c r="A74" s="608" t="s">
        <v>48</v>
      </c>
      <c r="B74" s="609"/>
      <c r="C74" s="609"/>
      <c r="D74" s="609"/>
      <c r="E74" s="609"/>
      <c r="F74" s="609"/>
      <c r="G74" s="609"/>
      <c r="H74" s="609"/>
      <c r="I74" s="609"/>
      <c r="J74" s="570">
        <f>J58</f>
        <v>0.1052</v>
      </c>
      <c r="K74" s="570"/>
      <c r="L74" s="571"/>
    </row>
    <row r="75" spans="1:33" ht="17.100000000000001" customHeight="1" x14ac:dyDescent="0.25">
      <c r="A75" s="608" t="s">
        <v>13</v>
      </c>
      <c r="B75" s="609"/>
      <c r="C75" s="609"/>
      <c r="D75" s="609"/>
      <c r="E75" s="609"/>
      <c r="F75" s="609"/>
      <c r="G75" s="609"/>
      <c r="H75" s="609"/>
      <c r="I75" s="609"/>
      <c r="J75" s="746">
        <f>'CUSTO VARIÁVEL'!J45</f>
        <v>33</v>
      </c>
      <c r="K75" s="580"/>
      <c r="L75" s="581"/>
    </row>
    <row r="76" spans="1:33" ht="17.100000000000001" customHeight="1" x14ac:dyDescent="0.25">
      <c r="A76" s="660" t="s">
        <v>25</v>
      </c>
      <c r="B76" s="661"/>
      <c r="C76" s="661"/>
      <c r="D76" s="661"/>
      <c r="E76" s="661"/>
      <c r="F76" s="661"/>
      <c r="G76" s="661"/>
      <c r="H76" s="661"/>
      <c r="I76" s="661"/>
      <c r="J76" s="565">
        <f>'CUSTO VARIÁVEL'!J46</f>
        <v>739263.63636363635</v>
      </c>
      <c r="K76" s="566"/>
      <c r="L76" s="567"/>
    </row>
    <row r="77" spans="1:33" ht="18" customHeight="1" x14ac:dyDescent="0.25">
      <c r="A77" s="543" t="s">
        <v>47</v>
      </c>
      <c r="B77" s="543"/>
      <c r="C77" s="543"/>
      <c r="D77" s="543"/>
      <c r="E77" s="543"/>
      <c r="F77" s="543"/>
      <c r="G77" s="543"/>
      <c r="H77" s="543"/>
      <c r="I77" s="543"/>
      <c r="J77" s="544">
        <f>J73*J74*J75*J76/12</f>
        <v>2930.0048890000003</v>
      </c>
      <c r="K77" s="544"/>
      <c r="L77" s="544"/>
    </row>
    <row r="78" spans="1:33" ht="2.1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6"/>
      <c r="K78" s="6"/>
      <c r="L78" s="6"/>
    </row>
    <row r="79" spans="1:33" ht="18" customHeight="1" x14ac:dyDescent="0.25">
      <c r="A79" s="747" t="s">
        <v>164</v>
      </c>
      <c r="B79" s="747"/>
      <c r="C79" s="747"/>
      <c r="D79" s="747"/>
      <c r="E79" s="747"/>
      <c r="F79" s="747"/>
      <c r="G79" s="747"/>
      <c r="H79" s="747"/>
      <c r="I79" s="747"/>
      <c r="J79" s="747"/>
      <c r="K79" s="747"/>
      <c r="L79" s="747"/>
    </row>
    <row r="80" spans="1:33" ht="39.950000000000003" customHeight="1" x14ac:dyDescent="0.25">
      <c r="A80" s="666" t="s">
        <v>53</v>
      </c>
      <c r="B80" s="666"/>
      <c r="C80" s="666"/>
      <c r="D80" s="666"/>
      <c r="E80" s="666" t="s">
        <v>52</v>
      </c>
      <c r="F80" s="666"/>
      <c r="G80" s="666"/>
      <c r="H80" s="666"/>
      <c r="I80" s="666" t="s">
        <v>54</v>
      </c>
      <c r="J80" s="666"/>
      <c r="K80" s="666"/>
      <c r="L80" s="666"/>
    </row>
    <row r="81" spans="1:12" ht="17.100000000000001" customHeight="1" x14ac:dyDescent="0.25">
      <c r="A81" s="667">
        <v>0</v>
      </c>
      <c r="B81" s="667"/>
      <c r="C81" s="667"/>
      <c r="D81" s="667"/>
      <c r="E81" s="667">
        <v>0</v>
      </c>
      <c r="F81" s="667"/>
      <c r="G81" s="667"/>
      <c r="H81" s="667"/>
      <c r="I81" s="667">
        <v>1.37E-2</v>
      </c>
      <c r="J81" s="667"/>
      <c r="K81" s="667"/>
      <c r="L81" s="667"/>
    </row>
    <row r="82" spans="1:12" ht="2.1" customHeight="1" x14ac:dyDescent="0.25"/>
    <row r="83" spans="1:12" ht="18" customHeight="1" x14ac:dyDescent="0.3">
      <c r="A83" s="545" t="s">
        <v>55</v>
      </c>
      <c r="B83" s="546"/>
      <c r="C83" s="546"/>
      <c r="D83" s="546"/>
      <c r="E83" s="546"/>
      <c r="F83" s="546"/>
      <c r="G83" s="546"/>
      <c r="H83" s="546"/>
      <c r="I83" s="546"/>
      <c r="J83" s="546"/>
      <c r="K83" s="546"/>
      <c r="L83" s="547"/>
    </row>
    <row r="84" spans="1:12" ht="17.100000000000001" customHeight="1" x14ac:dyDescent="0.25">
      <c r="A84" s="658" t="s">
        <v>57</v>
      </c>
      <c r="B84" s="659"/>
      <c r="C84" s="659"/>
      <c r="D84" s="659"/>
      <c r="E84" s="659"/>
      <c r="F84" s="659"/>
      <c r="G84" s="659"/>
      <c r="H84" s="659"/>
      <c r="I84" s="659"/>
      <c r="J84" s="720">
        <v>2</v>
      </c>
      <c r="K84" s="720"/>
      <c r="L84" s="721"/>
    </row>
    <row r="85" spans="1:12" ht="17.100000000000001" customHeight="1" x14ac:dyDescent="0.25">
      <c r="A85" s="608" t="s">
        <v>48</v>
      </c>
      <c r="B85" s="609"/>
      <c r="C85" s="609"/>
      <c r="D85" s="609"/>
      <c r="E85" s="609"/>
      <c r="F85" s="609"/>
      <c r="G85" s="609"/>
      <c r="H85" s="609"/>
      <c r="I85" s="609"/>
      <c r="J85" s="570">
        <f>J58</f>
        <v>0.1052</v>
      </c>
      <c r="K85" s="570"/>
      <c r="L85" s="571"/>
    </row>
    <row r="86" spans="1:12" ht="17.100000000000001" customHeight="1" x14ac:dyDescent="0.25">
      <c r="A86" s="608" t="s">
        <v>56</v>
      </c>
      <c r="B86" s="609"/>
      <c r="C86" s="609"/>
      <c r="D86" s="609"/>
      <c r="E86" s="609"/>
      <c r="F86" s="609"/>
      <c r="G86" s="609"/>
      <c r="H86" s="609"/>
      <c r="I86" s="609"/>
      <c r="J86" s="582">
        <f>'CUSTO VARIÁVEL'!J47</f>
        <v>162638</v>
      </c>
      <c r="K86" s="580"/>
      <c r="L86" s="581"/>
    </row>
    <row r="87" spans="1:12" ht="18" customHeight="1" x14ac:dyDescent="0.25">
      <c r="A87" s="543" t="s">
        <v>47</v>
      </c>
      <c r="B87" s="543"/>
      <c r="C87" s="543"/>
      <c r="D87" s="543"/>
      <c r="E87" s="543"/>
      <c r="F87" s="543"/>
      <c r="G87" s="543"/>
      <c r="H87" s="543"/>
      <c r="I87" s="543"/>
      <c r="J87" s="544">
        <f>J84*J85*J86/12</f>
        <v>2851.5862666666667</v>
      </c>
      <c r="K87" s="544"/>
      <c r="L87" s="544"/>
    </row>
    <row r="88" spans="1:12" ht="2.1" customHeight="1" x14ac:dyDescent="0.25"/>
    <row r="89" spans="1:12" ht="20.100000000000001" customHeight="1" x14ac:dyDescent="0.25"/>
    <row r="90" spans="1:12" ht="20.100000000000001" customHeight="1" x14ac:dyDescent="0.25"/>
    <row r="91" spans="1:12" ht="20.100000000000001" customHeight="1" x14ac:dyDescent="0.25"/>
    <row r="92" spans="1:12" ht="18" customHeight="1" x14ac:dyDescent="0.25">
      <c r="A92" s="644" t="s">
        <v>514</v>
      </c>
      <c r="B92" s="645"/>
      <c r="C92" s="645"/>
      <c r="D92" s="645"/>
      <c r="E92" s="645"/>
      <c r="F92" s="645"/>
      <c r="G92" s="645"/>
      <c r="H92" s="645"/>
      <c r="I92" s="645"/>
      <c r="J92" s="645"/>
      <c r="K92" s="645"/>
      <c r="L92" s="646"/>
    </row>
    <row r="93" spans="1:12" ht="17.100000000000001" customHeight="1" x14ac:dyDescent="0.25">
      <c r="A93" s="608" t="s">
        <v>515</v>
      </c>
      <c r="B93" s="609"/>
      <c r="C93" s="609"/>
      <c r="D93" s="609"/>
      <c r="E93" s="609"/>
      <c r="F93" s="609"/>
      <c r="G93" s="609"/>
      <c r="H93" s="609"/>
      <c r="I93" s="609"/>
      <c r="J93" s="582">
        <v>86423.27</v>
      </c>
      <c r="K93" s="582"/>
      <c r="L93" s="583"/>
    </row>
    <row r="94" spans="1:12" ht="18" customHeight="1" x14ac:dyDescent="0.25">
      <c r="A94" s="543" t="s">
        <v>59</v>
      </c>
      <c r="B94" s="543"/>
      <c r="C94" s="543"/>
      <c r="D94" s="543"/>
      <c r="E94" s="543"/>
      <c r="F94" s="543"/>
      <c r="G94" s="543"/>
      <c r="H94" s="543"/>
      <c r="I94" s="543"/>
      <c r="J94" s="544">
        <f>J93</f>
        <v>86423.27</v>
      </c>
      <c r="K94" s="544"/>
      <c r="L94" s="544"/>
    </row>
    <row r="95" spans="1:12" ht="2.1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6"/>
      <c r="K95" s="6"/>
      <c r="L95" s="6"/>
    </row>
    <row r="96" spans="1:12" ht="33.950000000000003" customHeight="1" x14ac:dyDescent="0.25">
      <c r="A96" s="514" t="s">
        <v>523</v>
      </c>
      <c r="B96" s="515"/>
      <c r="C96" s="515"/>
      <c r="D96" s="515"/>
      <c r="E96" s="515"/>
      <c r="F96" s="515"/>
      <c r="G96" s="515"/>
      <c r="H96" s="515"/>
      <c r="I96" s="515"/>
      <c r="J96" s="515"/>
      <c r="K96" s="515"/>
      <c r="L96" s="516"/>
    </row>
    <row r="97" spans="1:12" ht="2.1" customHeight="1" x14ac:dyDescent="0.25"/>
    <row r="98" spans="1:12" ht="18" customHeight="1" x14ac:dyDescent="0.25">
      <c r="A98" s="644" t="s">
        <v>58</v>
      </c>
      <c r="B98" s="645"/>
      <c r="C98" s="645"/>
      <c r="D98" s="645"/>
      <c r="E98" s="645"/>
      <c r="F98" s="645"/>
      <c r="G98" s="645"/>
      <c r="H98" s="645"/>
      <c r="I98" s="645"/>
      <c r="J98" s="645"/>
      <c r="K98" s="645"/>
      <c r="L98" s="646"/>
    </row>
    <row r="99" spans="1:12" ht="17.100000000000001" customHeight="1" x14ac:dyDescent="0.25">
      <c r="A99" s="624" t="s">
        <v>60</v>
      </c>
      <c r="B99" s="625"/>
      <c r="C99" s="625"/>
      <c r="D99" s="625"/>
      <c r="E99" s="625"/>
      <c r="F99" s="625"/>
      <c r="G99" s="625"/>
      <c r="H99" s="625"/>
      <c r="I99" s="626"/>
      <c r="J99" s="627">
        <v>5.0000000000000001E-3</v>
      </c>
      <c r="K99" s="628"/>
      <c r="L99" s="629"/>
    </row>
    <row r="100" spans="1:12" ht="17.100000000000001" customHeight="1" x14ac:dyDescent="0.25">
      <c r="A100" s="616" t="s">
        <v>48</v>
      </c>
      <c r="B100" s="617"/>
      <c r="C100" s="617"/>
      <c r="D100" s="617"/>
      <c r="E100" s="617"/>
      <c r="F100" s="617"/>
      <c r="G100" s="617"/>
      <c r="H100" s="617"/>
      <c r="I100" s="618"/>
      <c r="J100" s="630">
        <f>J58</f>
        <v>0.1052</v>
      </c>
      <c r="K100" s="631"/>
      <c r="L100" s="632"/>
    </row>
    <row r="101" spans="1:12" ht="17.100000000000001" customHeight="1" x14ac:dyDescent="0.25">
      <c r="A101" s="616" t="s">
        <v>25</v>
      </c>
      <c r="B101" s="617"/>
      <c r="C101" s="617"/>
      <c r="D101" s="617"/>
      <c r="E101" s="617"/>
      <c r="F101" s="617"/>
      <c r="G101" s="617"/>
      <c r="H101" s="617"/>
      <c r="I101" s="618"/>
      <c r="J101" s="540">
        <f>'CUSTO VARIÁVEL'!J46</f>
        <v>739263.63636363635</v>
      </c>
      <c r="K101" s="619"/>
      <c r="L101" s="620"/>
    </row>
    <row r="102" spans="1:12" ht="17.100000000000001" customHeight="1" x14ac:dyDescent="0.25">
      <c r="A102" s="608" t="s">
        <v>13</v>
      </c>
      <c r="B102" s="609"/>
      <c r="C102" s="609"/>
      <c r="D102" s="609"/>
      <c r="E102" s="609"/>
      <c r="F102" s="609"/>
      <c r="G102" s="609"/>
      <c r="H102" s="609"/>
      <c r="I102" s="609"/>
      <c r="J102" s="610">
        <f>'CUSTO VARIÁVEL'!J45</f>
        <v>33</v>
      </c>
      <c r="K102" s="611"/>
      <c r="L102" s="612"/>
    </row>
    <row r="103" spans="1:12" ht="18.75" x14ac:dyDescent="0.25">
      <c r="A103" s="543" t="s">
        <v>59</v>
      </c>
      <c r="B103" s="543"/>
      <c r="C103" s="543"/>
      <c r="D103" s="543"/>
      <c r="E103" s="543"/>
      <c r="F103" s="543"/>
      <c r="G103" s="543"/>
      <c r="H103" s="543"/>
      <c r="I103" s="543"/>
      <c r="J103" s="544">
        <f>J99*J100*J101*J102/12</f>
        <v>1069.34485</v>
      </c>
      <c r="K103" s="544"/>
      <c r="L103" s="544"/>
    </row>
    <row r="104" spans="1:12" ht="2.1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6"/>
      <c r="K104" s="6"/>
      <c r="L104" s="6"/>
    </row>
    <row r="105" spans="1:12" ht="33.950000000000003" customHeight="1" x14ac:dyDescent="0.25">
      <c r="A105" s="514" t="s">
        <v>61</v>
      </c>
      <c r="B105" s="515"/>
      <c r="C105" s="515"/>
      <c r="D105" s="515"/>
      <c r="E105" s="515"/>
      <c r="F105" s="515"/>
      <c r="G105" s="515"/>
      <c r="H105" s="515"/>
      <c r="I105" s="515"/>
      <c r="J105" s="515"/>
      <c r="K105" s="515"/>
      <c r="L105" s="516"/>
    </row>
    <row r="106" spans="1:12" ht="2.1" customHeight="1" x14ac:dyDescent="0.25"/>
    <row r="107" spans="1:12" ht="18" customHeight="1" x14ac:dyDescent="0.25">
      <c r="A107" s="621" t="s">
        <v>241</v>
      </c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3"/>
    </row>
    <row r="108" spans="1:12" ht="18" customHeight="1" x14ac:dyDescent="0.25">
      <c r="A108" s="644" t="s">
        <v>189</v>
      </c>
      <c r="B108" s="645"/>
      <c r="C108" s="645"/>
      <c r="D108" s="645"/>
      <c r="E108" s="645"/>
      <c r="F108" s="645"/>
      <c r="G108" s="645"/>
      <c r="H108" s="645"/>
      <c r="I108" s="645"/>
      <c r="J108" s="645"/>
      <c r="K108" s="645"/>
      <c r="L108" s="646"/>
    </row>
    <row r="109" spans="1:12" ht="17.100000000000001" customHeight="1" x14ac:dyDescent="0.25">
      <c r="A109" s="742" t="s">
        <v>242</v>
      </c>
      <c r="B109" s="743"/>
      <c r="C109" s="743"/>
      <c r="D109" s="743"/>
      <c r="E109" s="743"/>
      <c r="F109" s="743"/>
      <c r="G109" s="743"/>
      <c r="H109" s="743"/>
      <c r="I109" s="743"/>
      <c r="J109" s="744">
        <f>10717/2</f>
        <v>5358.5</v>
      </c>
      <c r="K109" s="744"/>
      <c r="L109" s="745"/>
    </row>
    <row r="110" spans="1:12" ht="17.100000000000001" customHeight="1" x14ac:dyDescent="0.25">
      <c r="A110" s="748" t="s">
        <v>243</v>
      </c>
      <c r="B110" s="749"/>
      <c r="C110" s="749"/>
      <c r="D110" s="749"/>
      <c r="E110" s="749"/>
      <c r="F110" s="749"/>
      <c r="G110" s="749"/>
      <c r="H110" s="749"/>
      <c r="I110" s="749"/>
      <c r="J110" s="750">
        <v>2384</v>
      </c>
      <c r="K110" s="750"/>
      <c r="L110" s="751"/>
    </row>
    <row r="111" spans="1:12" ht="17.100000000000001" customHeight="1" x14ac:dyDescent="0.25">
      <c r="A111" s="644" t="s">
        <v>367</v>
      </c>
      <c r="B111" s="645"/>
      <c r="C111" s="645"/>
      <c r="D111" s="645"/>
      <c r="E111" s="645"/>
      <c r="F111" s="645"/>
      <c r="G111" s="645"/>
      <c r="H111" s="645"/>
      <c r="I111" s="645"/>
      <c r="J111" s="645"/>
      <c r="K111" s="645"/>
      <c r="L111" s="646"/>
    </row>
    <row r="112" spans="1:12" ht="17.100000000000001" customHeight="1" x14ac:dyDescent="0.25">
      <c r="A112" s="748" t="s">
        <v>244</v>
      </c>
      <c r="B112" s="749"/>
      <c r="C112" s="749"/>
      <c r="D112" s="749"/>
      <c r="E112" s="749"/>
      <c r="F112" s="749"/>
      <c r="G112" s="749"/>
      <c r="H112" s="749"/>
      <c r="I112" s="749"/>
      <c r="J112" s="750">
        <v>5400</v>
      </c>
      <c r="K112" s="750"/>
      <c r="L112" s="751"/>
    </row>
    <row r="113" spans="1:16" ht="18" customHeight="1" x14ac:dyDescent="0.25">
      <c r="A113" s="752" t="s">
        <v>245</v>
      </c>
      <c r="B113" s="752"/>
      <c r="C113" s="752"/>
      <c r="D113" s="752"/>
      <c r="E113" s="752"/>
      <c r="F113" s="752"/>
      <c r="G113" s="752"/>
      <c r="H113" s="752"/>
      <c r="I113" s="752"/>
      <c r="J113" s="544">
        <f>J109+J110+J112</f>
        <v>13142.5</v>
      </c>
      <c r="K113" s="544"/>
      <c r="L113" s="544"/>
    </row>
    <row r="114" spans="1:16" ht="18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6"/>
      <c r="K114" s="6"/>
      <c r="L114" s="6"/>
    </row>
    <row r="115" spans="1:16" ht="18" customHeight="1" x14ac:dyDescent="0.3">
      <c r="A115" s="663" t="s">
        <v>66</v>
      </c>
      <c r="B115" s="663"/>
      <c r="C115" s="663"/>
      <c r="D115" s="663"/>
      <c r="E115" s="663"/>
      <c r="F115" s="663"/>
      <c r="G115" s="663"/>
    </row>
    <row r="116" spans="1:16" ht="18" customHeight="1" x14ac:dyDescent="0.3">
      <c r="A116" s="545" t="s">
        <v>62</v>
      </c>
      <c r="B116" s="546"/>
      <c r="C116" s="546"/>
      <c r="D116" s="546"/>
      <c r="E116" s="546"/>
      <c r="F116" s="546"/>
      <c r="G116" s="546"/>
      <c r="H116" s="546"/>
      <c r="I116" s="546"/>
      <c r="J116" s="546"/>
      <c r="K116" s="546"/>
      <c r="L116" s="547"/>
    </row>
    <row r="117" spans="1:16" ht="17.100000000000001" customHeight="1" x14ac:dyDescent="0.25">
      <c r="A117" s="572" t="s">
        <v>112</v>
      </c>
      <c r="B117" s="573"/>
      <c r="C117" s="573"/>
      <c r="D117" s="573"/>
      <c r="E117" s="573"/>
      <c r="F117" s="573"/>
      <c r="G117" s="573"/>
      <c r="H117" s="573"/>
      <c r="I117" s="573"/>
      <c r="J117" s="584">
        <f>SALÁRIOS!C9</f>
        <v>3984.6214278350512</v>
      </c>
      <c r="K117" s="584"/>
      <c r="L117" s="585"/>
      <c r="P117" s="63"/>
    </row>
    <row r="118" spans="1:16" ht="17.100000000000001" customHeight="1" x14ac:dyDescent="0.25">
      <c r="A118" s="591" t="s">
        <v>81</v>
      </c>
      <c r="B118" s="592"/>
      <c r="C118" s="592"/>
      <c r="D118" s="592"/>
      <c r="E118" s="592"/>
      <c r="F118" s="592"/>
      <c r="G118" s="592"/>
      <c r="H118" s="592"/>
      <c r="I118" s="593"/>
      <c r="J118" s="588">
        <f>('FATOR DE UTILIZAÇÃO'!L38+'FATOR DE UTILIZAÇÃO'!P78)/100</f>
        <v>5.0633680682212773E-2</v>
      </c>
      <c r="K118" s="589"/>
      <c r="L118" s="590"/>
    </row>
    <row r="119" spans="1:16" ht="17.100000000000001" customHeight="1" x14ac:dyDescent="0.25">
      <c r="A119" s="591" t="s">
        <v>82</v>
      </c>
      <c r="B119" s="592"/>
      <c r="C119" s="592"/>
      <c r="D119" s="592"/>
      <c r="E119" s="592"/>
      <c r="F119" s="592"/>
      <c r="G119" s="592"/>
      <c r="H119" s="592"/>
      <c r="I119" s="593"/>
      <c r="J119" s="588">
        <v>0.40160000000000001</v>
      </c>
      <c r="K119" s="589"/>
      <c r="L119" s="590"/>
    </row>
    <row r="120" spans="1:16" ht="17.100000000000001" customHeight="1" x14ac:dyDescent="0.25">
      <c r="A120" s="591" t="s">
        <v>67</v>
      </c>
      <c r="B120" s="592"/>
      <c r="C120" s="592"/>
      <c r="D120" s="592"/>
      <c r="E120" s="592"/>
      <c r="F120" s="592"/>
      <c r="G120" s="592"/>
      <c r="H120" s="592"/>
      <c r="I120" s="593"/>
      <c r="J120" s="753">
        <f>(26*36.17+167.34)*0.8</f>
        <v>886.20800000000008</v>
      </c>
      <c r="K120" s="754"/>
      <c r="L120" s="755"/>
    </row>
    <row r="121" spans="1:16" ht="17.100000000000001" customHeight="1" x14ac:dyDescent="0.25">
      <c r="A121" s="568" t="s">
        <v>68</v>
      </c>
      <c r="B121" s="569"/>
      <c r="C121" s="569"/>
      <c r="D121" s="569"/>
      <c r="E121" s="569"/>
      <c r="F121" s="569"/>
      <c r="G121" s="569"/>
      <c r="H121" s="569"/>
      <c r="I121" s="569"/>
      <c r="J121" s="561">
        <f>'FATOR DE UTILIZAÇÃO'!L35</f>
        <v>2.5724843768168735</v>
      </c>
      <c r="K121" s="561"/>
      <c r="L121" s="562"/>
    </row>
    <row r="122" spans="1:16" ht="17.100000000000001" customHeight="1" x14ac:dyDescent="0.25">
      <c r="A122" s="568" t="s">
        <v>69</v>
      </c>
      <c r="B122" s="569"/>
      <c r="C122" s="569"/>
      <c r="D122" s="569"/>
      <c r="E122" s="569"/>
      <c r="F122" s="569"/>
      <c r="G122" s="569"/>
      <c r="H122" s="569"/>
      <c r="I122" s="569"/>
      <c r="J122" s="671">
        <f>30*100/33</f>
        <v>90.909090909090907</v>
      </c>
      <c r="K122" s="671"/>
      <c r="L122" s="672"/>
    </row>
    <row r="123" spans="1:16" ht="17.100000000000001" customHeight="1" x14ac:dyDescent="0.25">
      <c r="A123" s="563" t="s">
        <v>13</v>
      </c>
      <c r="B123" s="564"/>
      <c r="C123" s="564"/>
      <c r="D123" s="564"/>
      <c r="E123" s="564"/>
      <c r="F123" s="564"/>
      <c r="G123" s="564"/>
      <c r="H123" s="564"/>
      <c r="I123" s="564"/>
      <c r="J123" s="673">
        <f>'CUSTO VARIÁVEL'!J45:L45</f>
        <v>33</v>
      </c>
      <c r="K123" s="673"/>
      <c r="L123" s="674"/>
    </row>
    <row r="124" spans="1:16" ht="18" customHeight="1" x14ac:dyDescent="0.25">
      <c r="A124" s="543" t="s">
        <v>63</v>
      </c>
      <c r="B124" s="543"/>
      <c r="C124" s="543"/>
      <c r="D124" s="543"/>
      <c r="E124" s="543"/>
      <c r="F124" s="543"/>
      <c r="G124" s="543"/>
      <c r="H124" s="543"/>
      <c r="I124" s="543"/>
      <c r="J124" s="544">
        <f>(J117*J118*(1+J119)+J120*J121)*J122*J123/12</f>
        <v>640634.37822791457</v>
      </c>
      <c r="K124" s="544"/>
      <c r="L124" s="544"/>
    </row>
    <row r="125" spans="1:16" ht="2.1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6"/>
      <c r="K125" s="6"/>
      <c r="L125" s="6"/>
    </row>
    <row r="126" spans="1:16" s="47" customFormat="1" ht="17.100000000000001" customHeight="1" x14ac:dyDescent="0.25">
      <c r="A126" s="514" t="s">
        <v>179</v>
      </c>
      <c r="B126" s="515"/>
      <c r="C126" s="515"/>
      <c r="D126" s="515"/>
      <c r="E126" s="515"/>
      <c r="F126" s="515"/>
      <c r="G126" s="515"/>
      <c r="H126" s="515"/>
      <c r="I126" s="515"/>
      <c r="J126" s="515"/>
      <c r="K126" s="515"/>
      <c r="L126" s="516"/>
    </row>
    <row r="127" spans="1:16" s="47" customFormat="1" ht="33.950000000000003" customHeight="1" x14ac:dyDescent="0.25">
      <c r="A127" s="514" t="s">
        <v>120</v>
      </c>
      <c r="B127" s="515"/>
      <c r="C127" s="515"/>
      <c r="D127" s="515"/>
      <c r="E127" s="515"/>
      <c r="F127" s="515"/>
      <c r="G127" s="515"/>
      <c r="H127" s="515"/>
      <c r="I127" s="515"/>
      <c r="J127" s="515"/>
      <c r="K127" s="515"/>
      <c r="L127" s="516"/>
    </row>
    <row r="128" spans="1:16" ht="17.100000000000001" customHeight="1" x14ac:dyDescent="0.25">
      <c r="A128" s="596" t="s">
        <v>524</v>
      </c>
      <c r="B128" s="597"/>
      <c r="C128" s="597"/>
      <c r="D128" s="597"/>
      <c r="E128" s="597"/>
      <c r="F128" s="597"/>
      <c r="G128" s="597"/>
      <c r="H128" s="597"/>
      <c r="I128" s="597"/>
      <c r="J128" s="597"/>
      <c r="K128" s="597"/>
      <c r="L128" s="598"/>
    </row>
    <row r="129" spans="1:18" ht="2.1" customHeight="1" x14ac:dyDescent="0.25"/>
    <row r="130" spans="1:18" ht="40.15" customHeight="1" x14ac:dyDescent="0.25">
      <c r="A130" s="644" t="s">
        <v>80</v>
      </c>
      <c r="B130" s="645"/>
      <c r="C130" s="645"/>
      <c r="D130" s="645"/>
      <c r="E130" s="645"/>
      <c r="F130" s="645"/>
      <c r="G130" s="645"/>
      <c r="H130" s="645"/>
      <c r="I130" s="645"/>
      <c r="J130" s="645"/>
      <c r="K130" s="645"/>
      <c r="L130" s="646"/>
    </row>
    <row r="131" spans="1:18" ht="17.100000000000001" customHeight="1" x14ac:dyDescent="0.25">
      <c r="A131" s="568" t="s">
        <v>62</v>
      </c>
      <c r="B131" s="569"/>
      <c r="C131" s="569"/>
      <c r="D131" s="569"/>
      <c r="E131" s="569"/>
      <c r="F131" s="569"/>
      <c r="G131" s="569"/>
      <c r="H131" s="569"/>
      <c r="I131" s="569"/>
      <c r="J131" s="582">
        <f>J124</f>
        <v>640634.37822791457</v>
      </c>
      <c r="K131" s="580"/>
      <c r="L131" s="581"/>
    </row>
    <row r="132" spans="1:18" ht="25.15" customHeight="1" x14ac:dyDescent="0.25">
      <c r="A132" s="563" t="s">
        <v>83</v>
      </c>
      <c r="B132" s="564"/>
      <c r="C132" s="564"/>
      <c r="D132" s="564"/>
      <c r="E132" s="564"/>
      <c r="F132" s="564"/>
      <c r="G132" s="564"/>
      <c r="H132" s="564"/>
      <c r="I132" s="564"/>
      <c r="J132" s="664">
        <v>0.28410000000000002</v>
      </c>
      <c r="K132" s="664"/>
      <c r="L132" s="665"/>
      <c r="R132" s="31"/>
    </row>
    <row r="133" spans="1:18" ht="18" customHeight="1" x14ac:dyDescent="0.25">
      <c r="A133" s="543" t="s">
        <v>63</v>
      </c>
      <c r="B133" s="543"/>
      <c r="C133" s="543"/>
      <c r="D133" s="543"/>
      <c r="E133" s="543"/>
      <c r="F133" s="543"/>
      <c r="G133" s="543"/>
      <c r="H133" s="543"/>
      <c r="I133" s="543"/>
      <c r="J133" s="544">
        <f>J131*J132</f>
        <v>182004.22685455054</v>
      </c>
      <c r="K133" s="544"/>
      <c r="L133" s="544"/>
    </row>
    <row r="134" spans="1:18" ht="2.1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6"/>
      <c r="K134" s="6"/>
      <c r="L134" s="6"/>
    </row>
    <row r="135" spans="1:18" ht="33.950000000000003" customHeight="1" x14ac:dyDescent="0.25">
      <c r="A135" s="668" t="s">
        <v>240</v>
      </c>
      <c r="B135" s="669"/>
      <c r="C135" s="669"/>
      <c r="D135" s="669"/>
      <c r="E135" s="669"/>
      <c r="F135" s="669"/>
      <c r="G135" s="669"/>
      <c r="H135" s="669"/>
      <c r="I135" s="669"/>
      <c r="J135" s="669"/>
      <c r="K135" s="669"/>
      <c r="L135" s="670"/>
    </row>
    <row r="136" spans="1:18" ht="2.1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1:18" ht="39.950000000000003" customHeight="1" x14ac:dyDescent="0.25">
      <c r="A137" s="599" t="s">
        <v>362</v>
      </c>
      <c r="B137" s="600"/>
      <c r="C137" s="600"/>
      <c r="D137" s="600"/>
      <c r="E137" s="600"/>
      <c r="F137" s="600"/>
      <c r="G137" s="600"/>
      <c r="H137" s="600"/>
      <c r="I137" s="600"/>
      <c r="J137" s="600"/>
      <c r="K137" s="600"/>
      <c r="L137" s="601"/>
    </row>
    <row r="138" spans="1:18" ht="17.100000000000001" customHeight="1" x14ac:dyDescent="0.25">
      <c r="A138" s="602" t="s">
        <v>363</v>
      </c>
      <c r="B138" s="603"/>
      <c r="C138" s="603"/>
      <c r="D138" s="603"/>
      <c r="E138" s="603"/>
      <c r="F138" s="603"/>
      <c r="G138" s="603"/>
      <c r="H138" s="603"/>
      <c r="I138" s="603"/>
      <c r="J138" s="604">
        <v>10132.74</v>
      </c>
      <c r="K138" s="604"/>
      <c r="L138" s="605"/>
    </row>
    <row r="139" spans="1:18" ht="17.100000000000001" customHeight="1" x14ac:dyDescent="0.25">
      <c r="A139" s="675" t="s">
        <v>364</v>
      </c>
      <c r="B139" s="676"/>
      <c r="C139" s="676"/>
      <c r="D139" s="676"/>
      <c r="E139" s="676"/>
      <c r="F139" s="676"/>
      <c r="G139" s="676"/>
      <c r="H139" s="676"/>
      <c r="I139" s="676"/>
      <c r="J139" s="677">
        <v>1295.93</v>
      </c>
      <c r="K139" s="677"/>
      <c r="L139" s="678"/>
    </row>
    <row r="140" spans="1:18" ht="17.100000000000001" customHeight="1" x14ac:dyDescent="0.25">
      <c r="A140" s="606" t="s">
        <v>63</v>
      </c>
      <c r="B140" s="606"/>
      <c r="C140" s="606"/>
      <c r="D140" s="606"/>
      <c r="E140" s="606"/>
      <c r="F140" s="606"/>
      <c r="G140" s="606"/>
      <c r="H140" s="606"/>
      <c r="I140" s="606"/>
      <c r="J140" s="607">
        <f>J138+J139</f>
        <v>11428.67</v>
      </c>
      <c r="K140" s="607"/>
      <c r="L140" s="607"/>
    </row>
    <row r="141" spans="1:18" ht="2.1" customHeight="1" x14ac:dyDescent="0.25">
      <c r="A141" s="174"/>
      <c r="B141" s="174"/>
      <c r="C141" s="174"/>
      <c r="D141" s="174"/>
      <c r="E141" s="174"/>
      <c r="F141" s="174"/>
      <c r="G141" s="174"/>
      <c r="H141" s="174"/>
      <c r="I141" s="174"/>
      <c r="J141" s="175"/>
      <c r="K141" s="175"/>
      <c r="L141" s="175"/>
    </row>
    <row r="142" spans="1:18" ht="39.950000000000003" customHeight="1" x14ac:dyDescent="0.25">
      <c r="A142" s="599" t="s">
        <v>401</v>
      </c>
      <c r="B142" s="600"/>
      <c r="C142" s="600"/>
      <c r="D142" s="600"/>
      <c r="E142" s="600"/>
      <c r="F142" s="600"/>
      <c r="G142" s="600"/>
      <c r="H142" s="600"/>
      <c r="I142" s="600"/>
      <c r="J142" s="600"/>
      <c r="K142" s="600"/>
      <c r="L142" s="601"/>
    </row>
    <row r="143" spans="1:18" ht="17.100000000000001" customHeight="1" x14ac:dyDescent="0.25">
      <c r="A143" s="602" t="s">
        <v>402</v>
      </c>
      <c r="B143" s="603"/>
      <c r="C143" s="603"/>
      <c r="D143" s="603"/>
      <c r="E143" s="603"/>
      <c r="F143" s="603"/>
      <c r="G143" s="603"/>
      <c r="H143" s="603"/>
      <c r="I143" s="603"/>
      <c r="J143" s="604">
        <v>240</v>
      </c>
      <c r="K143" s="604"/>
      <c r="L143" s="605"/>
    </row>
    <row r="144" spans="1:18" ht="18" customHeight="1" x14ac:dyDescent="0.25">
      <c r="A144" s="606" t="s">
        <v>63</v>
      </c>
      <c r="B144" s="606"/>
      <c r="C144" s="606"/>
      <c r="D144" s="606"/>
      <c r="E144" s="606"/>
      <c r="F144" s="606"/>
      <c r="G144" s="606"/>
      <c r="H144" s="606"/>
      <c r="I144" s="606"/>
      <c r="J144" s="607">
        <f>(49*J143)/12</f>
        <v>980</v>
      </c>
      <c r="K144" s="607"/>
      <c r="L144" s="607"/>
    </row>
    <row r="145" spans="1:12" ht="2.1" customHeight="1" x14ac:dyDescent="0.25"/>
    <row r="146" spans="1:12" ht="39.950000000000003" customHeight="1" x14ac:dyDescent="0.25">
      <c r="A146" s="599" t="s">
        <v>403</v>
      </c>
      <c r="B146" s="600"/>
      <c r="C146" s="600"/>
      <c r="D146" s="600"/>
      <c r="E146" s="600"/>
      <c r="F146" s="600"/>
      <c r="G146" s="600"/>
      <c r="H146" s="600"/>
      <c r="I146" s="600"/>
      <c r="J146" s="600"/>
      <c r="K146" s="600"/>
      <c r="L146" s="601"/>
    </row>
    <row r="147" spans="1:12" ht="17.100000000000001" customHeight="1" x14ac:dyDescent="0.25">
      <c r="A147" s="602" t="s">
        <v>404</v>
      </c>
      <c r="B147" s="603"/>
      <c r="C147" s="603"/>
      <c r="D147" s="603"/>
      <c r="E147" s="603"/>
      <c r="F147" s="603"/>
      <c r="G147" s="603"/>
      <c r="H147" s="603"/>
      <c r="I147" s="603"/>
      <c r="J147" s="604">
        <v>28.25</v>
      </c>
      <c r="K147" s="604"/>
      <c r="L147" s="605"/>
    </row>
    <row r="148" spans="1:12" ht="17.100000000000001" customHeight="1" x14ac:dyDescent="0.25">
      <c r="A148" s="602" t="s">
        <v>405</v>
      </c>
      <c r="B148" s="603"/>
      <c r="C148" s="603"/>
      <c r="D148" s="603"/>
      <c r="E148" s="603"/>
      <c r="F148" s="603"/>
      <c r="G148" s="603"/>
      <c r="H148" s="603"/>
      <c r="I148" s="603"/>
      <c r="J148" s="604">
        <v>28.25</v>
      </c>
      <c r="K148" s="604"/>
      <c r="L148" s="605"/>
    </row>
    <row r="149" spans="1:12" ht="20.100000000000001" customHeight="1" x14ac:dyDescent="0.25">
      <c r="A149" s="606" t="s">
        <v>63</v>
      </c>
      <c r="B149" s="606"/>
      <c r="C149" s="606"/>
      <c r="D149" s="606"/>
      <c r="E149" s="606"/>
      <c r="F149" s="606"/>
      <c r="G149" s="606"/>
      <c r="H149" s="606"/>
      <c r="I149" s="606"/>
      <c r="J149" s="607">
        <f>((J147+J148)*34)/12</f>
        <v>160.08333333333334</v>
      </c>
      <c r="K149" s="607"/>
      <c r="L149" s="607"/>
    </row>
    <row r="150" spans="1:12" ht="2.1" customHeight="1" x14ac:dyDescent="0.25"/>
    <row r="151" spans="1:12" ht="18" customHeight="1" x14ac:dyDescent="0.3">
      <c r="A151" s="663" t="s">
        <v>84</v>
      </c>
      <c r="B151" s="663"/>
      <c r="C151" s="663"/>
      <c r="D151" s="663"/>
      <c r="E151" s="663"/>
      <c r="F151" s="663"/>
      <c r="G151" s="663"/>
      <c r="H151" s="663"/>
      <c r="I151" s="663"/>
    </row>
    <row r="152" spans="1:12" ht="18" customHeight="1" x14ac:dyDescent="0.3">
      <c r="A152" s="545" t="s">
        <v>85</v>
      </c>
      <c r="B152" s="546"/>
      <c r="C152" s="546"/>
      <c r="D152" s="546"/>
      <c r="E152" s="546"/>
      <c r="F152" s="546"/>
      <c r="G152" s="546"/>
      <c r="H152" s="546"/>
      <c r="I152" s="546"/>
      <c r="J152" s="546"/>
      <c r="K152" s="546"/>
      <c r="L152" s="547"/>
    </row>
    <row r="153" spans="1:12" ht="17.100000000000001" customHeight="1" x14ac:dyDescent="0.25">
      <c r="A153" s="658" t="s">
        <v>87</v>
      </c>
      <c r="B153" s="659"/>
      <c r="C153" s="659"/>
      <c r="D153" s="659"/>
      <c r="E153" s="659"/>
      <c r="F153" s="659"/>
      <c r="G153" s="659"/>
      <c r="H153" s="659"/>
      <c r="I153" s="659"/>
      <c r="J153" s="584">
        <v>0</v>
      </c>
      <c r="K153" s="584"/>
      <c r="L153" s="585"/>
    </row>
    <row r="154" spans="1:12" ht="17.100000000000001" customHeight="1" x14ac:dyDescent="0.25">
      <c r="A154" s="608" t="s">
        <v>88</v>
      </c>
      <c r="B154" s="609"/>
      <c r="C154" s="609"/>
      <c r="D154" s="609"/>
      <c r="E154" s="609"/>
      <c r="F154" s="609"/>
      <c r="G154" s="609"/>
      <c r="H154" s="609"/>
      <c r="I154" s="609"/>
      <c r="J154" s="582">
        <v>24000</v>
      </c>
      <c r="K154" s="582"/>
      <c r="L154" s="583"/>
    </row>
    <row r="155" spans="1:12" ht="17.100000000000001" customHeight="1" x14ac:dyDescent="0.25">
      <c r="A155" s="608" t="s">
        <v>89</v>
      </c>
      <c r="B155" s="609"/>
      <c r="C155" s="609"/>
      <c r="D155" s="609"/>
      <c r="E155" s="609"/>
      <c r="F155" s="609"/>
      <c r="G155" s="609"/>
      <c r="H155" s="609"/>
      <c r="I155" s="609"/>
      <c r="J155" s="582">
        <v>2400</v>
      </c>
      <c r="K155" s="582"/>
      <c r="L155" s="583"/>
    </row>
    <row r="156" spans="1:12" ht="17.100000000000001" customHeight="1" x14ac:dyDescent="0.25">
      <c r="A156" s="608" t="s">
        <v>90</v>
      </c>
      <c r="B156" s="609"/>
      <c r="C156" s="609"/>
      <c r="D156" s="609"/>
      <c r="E156" s="609"/>
      <c r="F156" s="609"/>
      <c r="G156" s="609"/>
      <c r="H156" s="609"/>
      <c r="I156" s="609"/>
      <c r="J156" s="582">
        <v>12000</v>
      </c>
      <c r="K156" s="582"/>
      <c r="L156" s="583"/>
    </row>
    <row r="157" spans="1:12" ht="17.100000000000001" customHeight="1" x14ac:dyDescent="0.25">
      <c r="A157" s="660" t="s">
        <v>91</v>
      </c>
      <c r="B157" s="661"/>
      <c r="C157" s="661"/>
      <c r="D157" s="661"/>
      <c r="E157" s="661"/>
      <c r="F157" s="661"/>
      <c r="G157" s="661"/>
      <c r="H157" s="661"/>
      <c r="I157" s="661"/>
      <c r="J157" s="565">
        <v>36000</v>
      </c>
      <c r="K157" s="565"/>
      <c r="L157" s="662"/>
    </row>
    <row r="158" spans="1:12" ht="18" customHeight="1" x14ac:dyDescent="0.25">
      <c r="A158" s="543" t="s">
        <v>86</v>
      </c>
      <c r="B158" s="543"/>
      <c r="C158" s="543"/>
      <c r="D158" s="543"/>
      <c r="E158" s="543"/>
      <c r="F158" s="543"/>
      <c r="G158" s="543"/>
      <c r="H158" s="543"/>
      <c r="I158" s="543"/>
      <c r="J158" s="544">
        <f>(((J153+J154+J155+J156+J157)/12)/30)*12</f>
        <v>2480</v>
      </c>
      <c r="K158" s="544"/>
      <c r="L158" s="544"/>
    </row>
    <row r="159" spans="1:12" ht="2.1" customHeight="1" x14ac:dyDescent="0.25"/>
    <row r="160" spans="1:12" ht="40.15" customHeight="1" x14ac:dyDescent="0.25">
      <c r="A160" s="644" t="s">
        <v>92</v>
      </c>
      <c r="B160" s="645"/>
      <c r="C160" s="645"/>
      <c r="D160" s="645"/>
      <c r="E160" s="645"/>
      <c r="F160" s="645"/>
      <c r="G160" s="645"/>
      <c r="H160" s="645"/>
      <c r="I160" s="645"/>
      <c r="J160" s="645"/>
      <c r="K160" s="645"/>
      <c r="L160" s="646"/>
    </row>
    <row r="161" spans="1:13" ht="17.100000000000001" customHeight="1" x14ac:dyDescent="0.25">
      <c r="A161" s="658" t="s">
        <v>93</v>
      </c>
      <c r="B161" s="659"/>
      <c r="C161" s="659"/>
      <c r="D161" s="659"/>
      <c r="E161" s="659"/>
      <c r="F161" s="659"/>
      <c r="G161" s="659"/>
      <c r="H161" s="659"/>
      <c r="I161" s="659"/>
      <c r="J161" s="584">
        <v>0</v>
      </c>
      <c r="K161" s="584"/>
      <c r="L161" s="585"/>
    </row>
    <row r="162" spans="1:13" ht="17.100000000000001" customHeight="1" x14ac:dyDescent="0.25">
      <c r="A162" s="608" t="s">
        <v>183</v>
      </c>
      <c r="B162" s="609"/>
      <c r="C162" s="609"/>
      <c r="D162" s="609"/>
      <c r="E162" s="609"/>
      <c r="F162" s="609"/>
      <c r="G162" s="609"/>
      <c r="H162" s="609"/>
      <c r="I162" s="609"/>
      <c r="J162" s="582">
        <v>87.42</v>
      </c>
      <c r="K162" s="582"/>
      <c r="L162" s="583"/>
    </row>
    <row r="163" spans="1:13" ht="17.100000000000001" customHeight="1" x14ac:dyDescent="0.25">
      <c r="A163" s="543" t="s">
        <v>86</v>
      </c>
      <c r="B163" s="543"/>
      <c r="C163" s="543"/>
      <c r="D163" s="543"/>
      <c r="E163" s="543"/>
      <c r="F163" s="543"/>
      <c r="G163" s="543"/>
      <c r="H163" s="543"/>
      <c r="I163" s="543"/>
      <c r="J163" s="544">
        <f>(J161+J162)*33/12</f>
        <v>240.405</v>
      </c>
      <c r="K163" s="544"/>
      <c r="L163" s="544"/>
    </row>
    <row r="164" spans="1:13" ht="2.1" customHeight="1" x14ac:dyDescent="0.25"/>
    <row r="165" spans="1:13" ht="18" customHeight="1" x14ac:dyDescent="0.25">
      <c r="A165" s="644" t="s">
        <v>94</v>
      </c>
      <c r="B165" s="645"/>
      <c r="C165" s="645"/>
      <c r="D165" s="645"/>
      <c r="E165" s="645"/>
      <c r="F165" s="645"/>
      <c r="G165" s="645"/>
      <c r="H165" s="645"/>
      <c r="I165" s="645"/>
      <c r="J165" s="645"/>
      <c r="K165" s="645"/>
      <c r="L165" s="646"/>
    </row>
    <row r="166" spans="1:13" ht="17.100000000000001" customHeight="1" x14ac:dyDescent="0.25">
      <c r="A166" s="658" t="s">
        <v>95</v>
      </c>
      <c r="B166" s="659"/>
      <c r="C166" s="659"/>
      <c r="D166" s="659"/>
      <c r="E166" s="659"/>
      <c r="F166" s="659"/>
      <c r="G166" s="659"/>
      <c r="H166" s="659"/>
      <c r="I166" s="659"/>
      <c r="J166" s="584">
        <v>57800</v>
      </c>
      <c r="K166" s="584"/>
      <c r="L166" s="585"/>
    </row>
    <row r="167" spans="1:13" ht="17.100000000000001" customHeight="1" x14ac:dyDescent="0.25">
      <c r="A167" s="543" t="s">
        <v>86</v>
      </c>
      <c r="B167" s="543"/>
      <c r="C167" s="543"/>
      <c r="D167" s="543"/>
      <c r="E167" s="543"/>
      <c r="F167" s="543"/>
      <c r="G167" s="543"/>
      <c r="H167" s="543"/>
      <c r="I167" s="543"/>
      <c r="J167" s="544">
        <f>J166/12</f>
        <v>4816.666666666667</v>
      </c>
      <c r="K167" s="544"/>
      <c r="L167" s="544"/>
    </row>
    <row r="168" spans="1:13" ht="2.1" customHeight="1" x14ac:dyDescent="0.25"/>
    <row r="169" spans="1:13" ht="18" customHeight="1" x14ac:dyDescent="0.25">
      <c r="A169" s="644" t="s">
        <v>96</v>
      </c>
      <c r="B169" s="645"/>
      <c r="C169" s="645"/>
      <c r="D169" s="645"/>
      <c r="E169" s="645"/>
      <c r="F169" s="645"/>
      <c r="G169" s="645"/>
      <c r="H169" s="645"/>
      <c r="I169" s="645"/>
      <c r="J169" s="645"/>
      <c r="K169" s="645"/>
      <c r="L169" s="646"/>
    </row>
    <row r="170" spans="1:13" ht="17.100000000000001" customHeight="1" x14ac:dyDescent="0.25">
      <c r="A170" s="658" t="s">
        <v>97</v>
      </c>
      <c r="B170" s="659"/>
      <c r="C170" s="659"/>
      <c r="D170" s="659"/>
      <c r="E170" s="659"/>
      <c r="F170" s="659"/>
      <c r="G170" s="659"/>
      <c r="H170" s="659"/>
      <c r="I170" s="659"/>
      <c r="J170" s="584">
        <v>0</v>
      </c>
      <c r="K170" s="584"/>
      <c r="L170" s="585"/>
    </row>
    <row r="171" spans="1:13" ht="17.100000000000001" customHeight="1" x14ac:dyDescent="0.25">
      <c r="A171" s="543" t="s">
        <v>86</v>
      </c>
      <c r="B171" s="543"/>
      <c r="C171" s="543"/>
      <c r="D171" s="543"/>
      <c r="E171" s="543"/>
      <c r="F171" s="543"/>
      <c r="G171" s="543"/>
      <c r="H171" s="543"/>
      <c r="I171" s="543"/>
      <c r="J171" s="544">
        <v>0</v>
      </c>
      <c r="K171" s="544"/>
      <c r="L171" s="544"/>
    </row>
    <row r="173" spans="1:13" ht="14.65" customHeight="1" x14ac:dyDescent="0.25">
      <c r="A173" s="517" t="s">
        <v>99</v>
      </c>
      <c r="B173" s="518"/>
      <c r="C173" s="518"/>
      <c r="D173" s="518"/>
      <c r="E173" s="518"/>
      <c r="F173" s="518"/>
      <c r="G173" s="518"/>
      <c r="H173" s="518"/>
      <c r="I173" s="518"/>
      <c r="J173" s="518"/>
      <c r="K173" s="518"/>
      <c r="L173" s="519"/>
      <c r="M173" s="3"/>
    </row>
    <row r="174" spans="1:13" ht="14.65" customHeight="1" x14ac:dyDescent="0.25">
      <c r="A174" s="520"/>
      <c r="B174" s="521"/>
      <c r="C174" s="521"/>
      <c r="D174" s="521"/>
      <c r="E174" s="521"/>
      <c r="F174" s="521"/>
      <c r="G174" s="521"/>
      <c r="H174" s="521"/>
      <c r="I174" s="521"/>
      <c r="J174" s="521"/>
      <c r="K174" s="521"/>
      <c r="L174" s="522"/>
      <c r="M174" s="3"/>
    </row>
    <row r="175" spans="1:13" ht="14.65" customHeight="1" x14ac:dyDescent="0.25">
      <c r="A175" s="523"/>
      <c r="B175" s="524"/>
      <c r="C175" s="524"/>
      <c r="D175" s="524"/>
      <c r="E175" s="524"/>
      <c r="F175" s="524"/>
      <c r="G175" s="524"/>
      <c r="H175" s="524"/>
      <c r="I175" s="524"/>
      <c r="J175" s="524"/>
      <c r="K175" s="524"/>
      <c r="L175" s="525"/>
      <c r="M175" s="3"/>
    </row>
    <row r="176" spans="1:13" ht="14.65" customHeight="1" x14ac:dyDescent="0.25">
      <c r="B176" s="529">
        <f>J17+J26+J46+J54+J70+J77+J87+J94+J103+J113+J124+J133+J140+J144+J149+J158+J163+J167+J171</f>
        <v>1094160.505421465</v>
      </c>
      <c r="C176" s="530"/>
      <c r="D176" s="530"/>
      <c r="E176" s="530"/>
      <c r="F176" s="530"/>
      <c r="G176" s="530"/>
      <c r="H176" s="530"/>
      <c r="I176" s="530"/>
      <c r="J176" s="530"/>
      <c r="K176" s="531"/>
      <c r="L176" s="52"/>
      <c r="M176" s="51"/>
    </row>
    <row r="177" spans="2:13" ht="14.65" customHeight="1" x14ac:dyDescent="0.25">
      <c r="B177" s="529"/>
      <c r="C177" s="530"/>
      <c r="D177" s="530"/>
      <c r="E177" s="530"/>
      <c r="F177" s="530"/>
      <c r="G177" s="530"/>
      <c r="H177" s="530"/>
      <c r="I177" s="530"/>
      <c r="J177" s="530"/>
      <c r="K177" s="531"/>
      <c r="L177" s="52"/>
      <c r="M177" s="51"/>
    </row>
    <row r="178" spans="2:13" ht="14.65" customHeight="1" x14ac:dyDescent="0.25">
      <c r="B178" s="532"/>
      <c r="C178" s="533"/>
      <c r="D178" s="533"/>
      <c r="E178" s="533"/>
      <c r="F178" s="533"/>
      <c r="G178" s="533"/>
      <c r="H178" s="533"/>
      <c r="I178" s="533"/>
      <c r="J178" s="533"/>
      <c r="K178" s="534"/>
      <c r="L178" s="52"/>
      <c r="M178" s="51"/>
    </row>
  </sheetData>
  <mergeCells count="300">
    <mergeCell ref="J144:L144"/>
    <mergeCell ref="A111:L111"/>
    <mergeCell ref="A112:I112"/>
    <mergeCell ref="J112:L112"/>
    <mergeCell ref="A113:I113"/>
    <mergeCell ref="J113:L113"/>
    <mergeCell ref="A110:I110"/>
    <mergeCell ref="J110:L110"/>
    <mergeCell ref="A115:G115"/>
    <mergeCell ref="A118:I118"/>
    <mergeCell ref="A119:I119"/>
    <mergeCell ref="J118:L118"/>
    <mergeCell ref="J119:L119"/>
    <mergeCell ref="A120:I120"/>
    <mergeCell ref="J120:L120"/>
    <mergeCell ref="A116:L116"/>
    <mergeCell ref="A117:I117"/>
    <mergeCell ref="J117:L117"/>
    <mergeCell ref="J140:L140"/>
    <mergeCell ref="A142:L142"/>
    <mergeCell ref="A143:I143"/>
    <mergeCell ref="J143:L143"/>
    <mergeCell ref="A144:I144"/>
    <mergeCell ref="A65:I65"/>
    <mergeCell ref="J65:L65"/>
    <mergeCell ref="A108:L108"/>
    <mergeCell ref="A109:I109"/>
    <mergeCell ref="J109:L109"/>
    <mergeCell ref="A86:I86"/>
    <mergeCell ref="J86:L86"/>
    <mergeCell ref="A87:I87"/>
    <mergeCell ref="J87:L87"/>
    <mergeCell ref="A85:I85"/>
    <mergeCell ref="J85:L85"/>
    <mergeCell ref="A73:I73"/>
    <mergeCell ref="A75:I75"/>
    <mergeCell ref="J75:L75"/>
    <mergeCell ref="A76:I76"/>
    <mergeCell ref="J76:L76"/>
    <mergeCell ref="A77:I77"/>
    <mergeCell ref="J77:L77"/>
    <mergeCell ref="J73:L73"/>
    <mergeCell ref="A79:L79"/>
    <mergeCell ref="A83:L83"/>
    <mergeCell ref="A84:I84"/>
    <mergeCell ref="J84:L84"/>
    <mergeCell ref="A98:L98"/>
    <mergeCell ref="A64:I64"/>
    <mergeCell ref="J64:L64"/>
    <mergeCell ref="A70:I70"/>
    <mergeCell ref="J70:L70"/>
    <mergeCell ref="N57:AG57"/>
    <mergeCell ref="N58:AG59"/>
    <mergeCell ref="N60:O60"/>
    <mergeCell ref="P60:T60"/>
    <mergeCell ref="N61:O61"/>
    <mergeCell ref="P61:T61"/>
    <mergeCell ref="N62:O62"/>
    <mergeCell ref="P62:T62"/>
    <mergeCell ref="N63:O63"/>
    <mergeCell ref="P63:T63"/>
    <mergeCell ref="N64:O64"/>
    <mergeCell ref="P64:T64"/>
    <mergeCell ref="N65:O65"/>
    <mergeCell ref="P65:T65"/>
    <mergeCell ref="N66:O66"/>
    <mergeCell ref="P66:T66"/>
    <mergeCell ref="N67:O67"/>
    <mergeCell ref="P67:T67"/>
    <mergeCell ref="N70:O70"/>
    <mergeCell ref="P70:T70"/>
    <mergeCell ref="N69:O69"/>
    <mergeCell ref="P69:T69"/>
    <mergeCell ref="N68:O68"/>
    <mergeCell ref="P68:T68"/>
    <mergeCell ref="A68:I68"/>
    <mergeCell ref="A69:I69"/>
    <mergeCell ref="J58:L58"/>
    <mergeCell ref="A59:I59"/>
    <mergeCell ref="J59:L59"/>
    <mergeCell ref="A58:I58"/>
    <mergeCell ref="J68:L68"/>
    <mergeCell ref="J69:L69"/>
    <mergeCell ref="A66:I66"/>
    <mergeCell ref="J66:L66"/>
    <mergeCell ref="A67:I67"/>
    <mergeCell ref="J67:L67"/>
    <mergeCell ref="A60:I60"/>
    <mergeCell ref="J60:L60"/>
    <mergeCell ref="A61:I61"/>
    <mergeCell ref="J61:L61"/>
    <mergeCell ref="A62:I62"/>
    <mergeCell ref="J62:L62"/>
    <mergeCell ref="A63:I63"/>
    <mergeCell ref="J63:L63"/>
    <mergeCell ref="A12:I12"/>
    <mergeCell ref="J12:L12"/>
    <mergeCell ref="A15:I15"/>
    <mergeCell ref="J15:L15"/>
    <mergeCell ref="A16:I16"/>
    <mergeCell ref="J16:L16"/>
    <mergeCell ref="A17:I17"/>
    <mergeCell ref="J17:L17"/>
    <mergeCell ref="A56:E56"/>
    <mergeCell ref="A54:I54"/>
    <mergeCell ref="J54:L54"/>
    <mergeCell ref="J39:L39"/>
    <mergeCell ref="A33:L33"/>
    <mergeCell ref="A35:I35"/>
    <mergeCell ref="J35:L35"/>
    <mergeCell ref="A38:I38"/>
    <mergeCell ref="J38:L38"/>
    <mergeCell ref="A25:I25"/>
    <mergeCell ref="J26:L26"/>
    <mergeCell ref="A45:I45"/>
    <mergeCell ref="A51:L51"/>
    <mergeCell ref="A52:I52"/>
    <mergeCell ref="J52:L52"/>
    <mergeCell ref="A28:L28"/>
    <mergeCell ref="N15:O15"/>
    <mergeCell ref="P15:T15"/>
    <mergeCell ref="N16:O16"/>
    <mergeCell ref="P16:T16"/>
    <mergeCell ref="A5:I5"/>
    <mergeCell ref="J5:L5"/>
    <mergeCell ref="A6:I6"/>
    <mergeCell ref="J6:L6"/>
    <mergeCell ref="A7:I7"/>
    <mergeCell ref="J7:L7"/>
    <mergeCell ref="A8:I8"/>
    <mergeCell ref="J8:L8"/>
    <mergeCell ref="A9:I9"/>
    <mergeCell ref="J9:L9"/>
    <mergeCell ref="N10:O10"/>
    <mergeCell ref="P10:T10"/>
    <mergeCell ref="A10:I10"/>
    <mergeCell ref="J10:L10"/>
    <mergeCell ref="N11:O11"/>
    <mergeCell ref="P11:T11"/>
    <mergeCell ref="A11:I11"/>
    <mergeCell ref="J11:L11"/>
    <mergeCell ref="N12:O12"/>
    <mergeCell ref="P12:T12"/>
    <mergeCell ref="N5:O5"/>
    <mergeCell ref="P5:T5"/>
    <mergeCell ref="N6:O6"/>
    <mergeCell ref="P6:T6"/>
    <mergeCell ref="N7:O7"/>
    <mergeCell ref="P7:T7"/>
    <mergeCell ref="N8:O8"/>
    <mergeCell ref="P8:T8"/>
    <mergeCell ref="N9:O9"/>
    <mergeCell ref="P9:T9"/>
    <mergeCell ref="A1:E1"/>
    <mergeCell ref="A2:L2"/>
    <mergeCell ref="A3:I3"/>
    <mergeCell ref="J3:L3"/>
    <mergeCell ref="N2:AF3"/>
    <mergeCell ref="A4:I4"/>
    <mergeCell ref="J4:L4"/>
    <mergeCell ref="N4:O4"/>
    <mergeCell ref="P4:T4"/>
    <mergeCell ref="A43:I43"/>
    <mergeCell ref="J45:L45"/>
    <mergeCell ref="A57:L57"/>
    <mergeCell ref="A29:L29"/>
    <mergeCell ref="A48:L48"/>
    <mergeCell ref="A49:L49"/>
    <mergeCell ref="J43:L43"/>
    <mergeCell ref="A41:I41"/>
    <mergeCell ref="A42:I42"/>
    <mergeCell ref="J41:L41"/>
    <mergeCell ref="J42:L42"/>
    <mergeCell ref="A40:L40"/>
    <mergeCell ref="A34:L34"/>
    <mergeCell ref="A36:I36"/>
    <mergeCell ref="A37:I37"/>
    <mergeCell ref="J36:L36"/>
    <mergeCell ref="J37:L37"/>
    <mergeCell ref="A39:I39"/>
    <mergeCell ref="A94:I94"/>
    <mergeCell ref="J94:L94"/>
    <mergeCell ref="A92:L92"/>
    <mergeCell ref="A93:I93"/>
    <mergeCell ref="J93:L93"/>
    <mergeCell ref="J154:L154"/>
    <mergeCell ref="A130:L130"/>
    <mergeCell ref="A124:I124"/>
    <mergeCell ref="J124:L124"/>
    <mergeCell ref="A135:L135"/>
    <mergeCell ref="A121:I121"/>
    <mergeCell ref="J121:L121"/>
    <mergeCell ref="A122:I122"/>
    <mergeCell ref="J122:L122"/>
    <mergeCell ref="A123:I123"/>
    <mergeCell ref="J123:L123"/>
    <mergeCell ref="A127:L127"/>
    <mergeCell ref="A128:L128"/>
    <mergeCell ref="A137:L137"/>
    <mergeCell ref="A138:I138"/>
    <mergeCell ref="A139:I139"/>
    <mergeCell ref="J138:L138"/>
    <mergeCell ref="J139:L139"/>
    <mergeCell ref="A140:I140"/>
    <mergeCell ref="B176:K178"/>
    <mergeCell ref="A80:D80"/>
    <mergeCell ref="A81:D81"/>
    <mergeCell ref="E80:H80"/>
    <mergeCell ref="E81:H81"/>
    <mergeCell ref="I80:L80"/>
    <mergeCell ref="I81:L81"/>
    <mergeCell ref="A96:L96"/>
    <mergeCell ref="A105:L105"/>
    <mergeCell ref="A126:L126"/>
    <mergeCell ref="A169:L169"/>
    <mergeCell ref="A170:I170"/>
    <mergeCell ref="J170:L170"/>
    <mergeCell ref="A171:I171"/>
    <mergeCell ref="J171:L171"/>
    <mergeCell ref="A163:I163"/>
    <mergeCell ref="J161:L161"/>
    <mergeCell ref="A162:I162"/>
    <mergeCell ref="J162:L162"/>
    <mergeCell ref="A156:I156"/>
    <mergeCell ref="J163:L163"/>
    <mergeCell ref="A165:L165"/>
    <mergeCell ref="A166:I166"/>
    <mergeCell ref="J166:L166"/>
    <mergeCell ref="A167:I167"/>
    <mergeCell ref="J167:L167"/>
    <mergeCell ref="A173:L175"/>
    <mergeCell ref="A161:I161"/>
    <mergeCell ref="A72:L72"/>
    <mergeCell ref="J156:L156"/>
    <mergeCell ref="A157:I157"/>
    <mergeCell ref="J157:L157"/>
    <mergeCell ref="A158:I158"/>
    <mergeCell ref="J158:L158"/>
    <mergeCell ref="A155:I155"/>
    <mergeCell ref="J155:L155"/>
    <mergeCell ref="A160:L160"/>
    <mergeCell ref="A151:I151"/>
    <mergeCell ref="A131:I131"/>
    <mergeCell ref="J131:L131"/>
    <mergeCell ref="A132:I132"/>
    <mergeCell ref="J132:L132"/>
    <mergeCell ref="A133:I133"/>
    <mergeCell ref="J133:L133"/>
    <mergeCell ref="A152:L152"/>
    <mergeCell ref="A153:I153"/>
    <mergeCell ref="J153:L153"/>
    <mergeCell ref="A154:I154"/>
    <mergeCell ref="N13:O13"/>
    <mergeCell ref="N14:O14"/>
    <mergeCell ref="P13:T13"/>
    <mergeCell ref="P14:T14"/>
    <mergeCell ref="N53:X53"/>
    <mergeCell ref="A19:L19"/>
    <mergeCell ref="A21:I21"/>
    <mergeCell ref="J21:L21"/>
    <mergeCell ref="A22:I22"/>
    <mergeCell ref="J22:L22"/>
    <mergeCell ref="A24:I24"/>
    <mergeCell ref="J24:L24"/>
    <mergeCell ref="A23:I23"/>
    <mergeCell ref="J23:L23"/>
    <mergeCell ref="A20:I20"/>
    <mergeCell ref="J20:L20"/>
    <mergeCell ref="J25:L25"/>
    <mergeCell ref="A26:I26"/>
    <mergeCell ref="A53:I53"/>
    <mergeCell ref="J53:L53"/>
    <mergeCell ref="A46:I46"/>
    <mergeCell ref="J46:L46"/>
    <mergeCell ref="A44:I44"/>
    <mergeCell ref="J44:L44"/>
    <mergeCell ref="A146:L146"/>
    <mergeCell ref="A147:I147"/>
    <mergeCell ref="J147:L147"/>
    <mergeCell ref="A149:I149"/>
    <mergeCell ref="J149:L149"/>
    <mergeCell ref="J148:L148"/>
    <mergeCell ref="A148:I148"/>
    <mergeCell ref="A13:I13"/>
    <mergeCell ref="A14:I14"/>
    <mergeCell ref="J13:L13"/>
    <mergeCell ref="J14:L14"/>
    <mergeCell ref="A103:I103"/>
    <mergeCell ref="J103:L103"/>
    <mergeCell ref="A101:I101"/>
    <mergeCell ref="J101:L101"/>
    <mergeCell ref="A102:I102"/>
    <mergeCell ref="J102:L102"/>
    <mergeCell ref="A107:L107"/>
    <mergeCell ref="A99:I99"/>
    <mergeCell ref="J99:L99"/>
    <mergeCell ref="A100:I100"/>
    <mergeCell ref="J100:L100"/>
    <mergeCell ref="A74:I74"/>
    <mergeCell ref="J74:L74"/>
  </mergeCells>
  <phoneticPr fontId="5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"/>
  <sheetViews>
    <sheetView workbookViewId="0">
      <selection activeCell="Y29" sqref="Y29"/>
    </sheetView>
  </sheetViews>
  <sheetFormatPr defaultRowHeight="15" x14ac:dyDescent="0.25"/>
  <cols>
    <col min="1" max="1" width="18.42578125" customWidth="1"/>
    <col min="2" max="20" width="5.5703125" customWidth="1"/>
    <col min="22" max="34" width="5.5703125" customWidth="1"/>
  </cols>
  <sheetData>
    <row r="1" spans="1:21" ht="40.35" customHeight="1" x14ac:dyDescent="0.25">
      <c r="A1" s="644" t="s">
        <v>98</v>
      </c>
      <c r="B1" s="645"/>
      <c r="C1" s="645"/>
      <c r="D1" s="645"/>
      <c r="E1" s="645"/>
      <c r="F1" s="645"/>
      <c r="G1" s="645"/>
      <c r="H1" s="645"/>
      <c r="I1" s="645"/>
      <c r="J1" s="645"/>
      <c r="K1" s="645"/>
      <c r="L1" s="645"/>
      <c r="M1" s="646"/>
      <c r="O1" s="31"/>
      <c r="P1" s="31"/>
      <c r="Q1" s="31"/>
      <c r="R1" s="31"/>
      <c r="S1" s="31"/>
      <c r="T1" s="31"/>
      <c r="U1" s="31"/>
    </row>
    <row r="2" spans="1:21" x14ac:dyDescent="0.25">
      <c r="A2" s="765"/>
      <c r="B2" s="765"/>
      <c r="C2" s="765"/>
      <c r="D2" s="765"/>
      <c r="E2" s="765"/>
      <c r="F2" s="763" t="s">
        <v>23</v>
      </c>
      <c r="G2" s="763"/>
      <c r="H2" s="763"/>
      <c r="I2" s="763"/>
      <c r="J2" s="763" t="s">
        <v>59</v>
      </c>
      <c r="K2" s="763"/>
      <c r="L2" s="763"/>
      <c r="M2" s="763"/>
    </row>
    <row r="3" spans="1:21" ht="30" customHeight="1" x14ac:dyDescent="0.25">
      <c r="A3" s="761" t="s">
        <v>148</v>
      </c>
      <c r="B3" s="761"/>
      <c r="C3" s="761"/>
      <c r="D3" s="761"/>
      <c r="E3" s="761"/>
      <c r="F3" s="697">
        <v>7.3099999999999998E-2</v>
      </c>
      <c r="G3" s="697"/>
      <c r="H3" s="697"/>
      <c r="I3" s="697"/>
      <c r="J3" s="764">
        <f>F3*('CUSTO VARIÁVEL'!B67+'CUSTO FIXO'!B176)</f>
        <v>129733.78494062673</v>
      </c>
      <c r="K3" s="764"/>
      <c r="L3" s="764"/>
      <c r="M3" s="764"/>
      <c r="O3" s="31"/>
      <c r="P3" s="31"/>
      <c r="Q3" s="31"/>
      <c r="R3" s="31"/>
      <c r="S3" s="31"/>
      <c r="T3" s="762"/>
      <c r="U3" s="762"/>
    </row>
    <row r="4" spans="1:21" x14ac:dyDescent="0.25">
      <c r="A4" s="756" t="s">
        <v>226</v>
      </c>
      <c r="B4" s="756"/>
      <c r="C4" s="756"/>
      <c r="D4" s="756"/>
      <c r="E4" s="756"/>
      <c r="F4" s="756"/>
      <c r="G4" s="756"/>
      <c r="H4" s="756"/>
      <c r="I4" s="756"/>
      <c r="J4" s="758">
        <f>J3</f>
        <v>129733.78494062673</v>
      </c>
      <c r="K4" s="759"/>
      <c r="L4" s="759"/>
      <c r="M4" s="759"/>
    </row>
    <row r="5" spans="1:21" x14ac:dyDescent="0.25">
      <c r="A5" s="757"/>
      <c r="B5" s="757"/>
      <c r="C5" s="757"/>
      <c r="D5" s="757"/>
      <c r="E5" s="757"/>
      <c r="F5" s="757"/>
      <c r="G5" s="757"/>
      <c r="H5" s="757"/>
      <c r="I5" s="757"/>
      <c r="J5" s="760"/>
      <c r="K5" s="760"/>
      <c r="L5" s="760"/>
      <c r="M5" s="760"/>
    </row>
  </sheetData>
  <mergeCells count="10">
    <mergeCell ref="A4:I5"/>
    <mergeCell ref="J4:M5"/>
    <mergeCell ref="A1:M1"/>
    <mergeCell ref="A3:E3"/>
    <mergeCell ref="T3:U3"/>
    <mergeCell ref="F2:I2"/>
    <mergeCell ref="J2:M2"/>
    <mergeCell ref="F3:I3"/>
    <mergeCell ref="J3:M3"/>
    <mergeCell ref="A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11</vt:i4>
      </vt:variant>
    </vt:vector>
  </HeadingPairs>
  <TitlesOfParts>
    <vt:vector size="23" baseType="lpstr">
      <vt:lpstr>KM PROGRAMADA</vt:lpstr>
      <vt:lpstr>PASSAGEIROS</vt:lpstr>
      <vt:lpstr>FATOR DE UTILIZAÇÃO</vt:lpstr>
      <vt:lpstr>CÁLCULO CONSUMO</vt:lpstr>
      <vt:lpstr>PREÇO DO DIESEL</vt:lpstr>
      <vt:lpstr>SALÁRIOS</vt:lpstr>
      <vt:lpstr>CUSTO VARIÁVEL</vt:lpstr>
      <vt:lpstr>CUSTO FIXO</vt:lpstr>
      <vt:lpstr>REMUN. PREST. DOS SERVIÇOS</vt:lpstr>
      <vt:lpstr>TRIBUTAÇÃO</vt:lpstr>
      <vt:lpstr>TARIFA</vt:lpstr>
      <vt:lpstr>RESUMO</vt:lpstr>
      <vt:lpstr>'CUSTO FIXO'!Area_de_impressao</vt:lpstr>
      <vt:lpstr>'CUSTO VARIÁVEL'!Area_de_impressao</vt:lpstr>
      <vt:lpstr>'FATOR DE UTILIZAÇÃO'!Area_de_impressao</vt:lpstr>
      <vt:lpstr>'KM PROGRAMADA'!Area_de_impressao</vt:lpstr>
      <vt:lpstr>PASSAGEIROS!Area_de_impressao</vt:lpstr>
      <vt:lpstr>'PREÇO DO DIESEL'!Area_de_impressao</vt:lpstr>
      <vt:lpstr>'REMUN. PREST. DOS SERVIÇOS'!Area_de_impressao</vt:lpstr>
      <vt:lpstr>RESUMO!Area_de_impressao</vt:lpstr>
      <vt:lpstr>SALÁRIOS!Area_de_impressao</vt:lpstr>
      <vt:lpstr>TARIFA!Area_de_impressao</vt:lpstr>
      <vt:lpstr>TRIBUTAÇÃO!Area_de_impressao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Computador010</dc:creator>
  <cp:lastModifiedBy>Neudir Cardoso</cp:lastModifiedBy>
  <cp:lastPrinted>2024-03-18T15:44:33Z</cp:lastPrinted>
  <dcterms:created xsi:type="dcterms:W3CDTF">2019-12-03T17:42:16Z</dcterms:created>
  <dcterms:modified xsi:type="dcterms:W3CDTF">2025-03-06T18:06:37Z</dcterms:modified>
</cp:coreProperties>
</file>